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activeTab="1"/>
  </bookViews>
  <sheets>
    <sheet name="About" sheetId="3" r:id="rId1"/>
    <sheet name="Calc" sheetId="1" r:id="rId2"/>
  </sheets>
  <calcPr calcId="145621"/>
</workbook>
</file>

<file path=xl/calcChain.xml><?xml version="1.0" encoding="utf-8"?>
<calcChain xmlns="http://schemas.openxmlformats.org/spreadsheetml/2006/main">
  <c r="U12" i="1" l="1"/>
  <c r="H22" i="1" l="1"/>
  <c r="H21" i="1"/>
  <c r="V12" i="1"/>
  <c r="T12" i="1"/>
  <c r="H10" i="1" s="1"/>
  <c r="U9" i="1"/>
  <c r="V9" i="1" s="1"/>
  <c r="H8" i="1" s="1"/>
  <c r="T9" i="1"/>
  <c r="U10" i="1" s="1"/>
  <c r="H9" i="1" s="1"/>
  <c r="X7" i="1"/>
  <c r="H6" i="1" s="1"/>
  <c r="H7" i="1"/>
  <c r="W6" i="1"/>
  <c r="V6" i="1"/>
  <c r="U6" i="1"/>
  <c r="T6" i="1"/>
  <c r="H5" i="1"/>
  <c r="H4" i="1"/>
  <c r="S21" i="1" s="1"/>
  <c r="H3" i="1"/>
  <c r="S20" i="1" s="1"/>
  <c r="T20" i="1" l="1"/>
  <c r="U20" i="1"/>
  <c r="U21" i="1"/>
  <c r="V21" i="1" s="1"/>
  <c r="T21" i="1"/>
  <c r="X21" i="1" l="1"/>
  <c r="H14" i="1" s="1"/>
  <c r="B18" i="1" s="1"/>
  <c r="V20" i="1"/>
  <c r="X20" i="1"/>
  <c r="H13" i="1" s="1"/>
  <c r="B17" i="1" s="1"/>
  <c r="B19" i="1" l="1"/>
  <c r="B24" i="1" s="1"/>
  <c r="B26" i="1" s="1"/>
</calcChain>
</file>

<file path=xl/comments1.xml><?xml version="1.0" encoding="utf-8"?>
<comments xmlns="http://schemas.openxmlformats.org/spreadsheetml/2006/main">
  <authors>
    <author>des.williamson</author>
  </authors>
  <commentList>
    <comment ref="D2" authorId="0">
      <text>
        <r>
          <rPr>
            <b/>
            <sz val="9"/>
            <color indexed="81"/>
            <rFont val="Tahoma"/>
            <family val="2"/>
          </rPr>
          <t>These are the current collision cost numbers used by Alberta Transportation as documented in the Benefit Cost Analysis Tool.  These numbers should only be updated if the department publishes a new set of numbers to use.</t>
        </r>
      </text>
    </comment>
    <comment ref="A3" authorId="0">
      <text>
        <r>
          <rPr>
            <b/>
            <sz val="9"/>
            <color indexed="81"/>
            <rFont val="Tahoma"/>
            <family val="2"/>
          </rPr>
          <t>This coefficient is used to calculate the severity index for the bridge rail upgrade.  The severity index affects the predicted proportion of fatality, injury, and property damage collisions.  Use either 0.027 or 0.032 depending on upgrade option, refer to Appendix C of Bridge Assessment Guidelines</t>
        </r>
      </text>
    </comment>
    <comment ref="A4" authorId="0">
      <text>
        <r>
          <rPr>
            <b/>
            <sz val="9"/>
            <color indexed="81"/>
            <rFont val="Tahoma"/>
            <family val="2"/>
          </rPr>
          <t>Design speed of approach road in km/hr (typically 10 km/hr above the posted speed limit)</t>
        </r>
      </text>
    </comment>
    <comment ref="A5" authorId="0">
      <text>
        <r>
          <rPr>
            <b/>
            <sz val="9"/>
            <color indexed="81"/>
            <rFont val="Tahoma"/>
            <family val="2"/>
          </rPr>
          <t>Hwy Type:
D - Divided
U - Undivided</t>
        </r>
      </text>
    </comment>
    <comment ref="A6" authorId="0">
      <text>
        <r>
          <rPr>
            <b/>
            <sz val="9"/>
            <color indexed="81"/>
            <rFont val="Tahoma"/>
            <family val="2"/>
          </rPr>
          <t>Current daily traffic volume in vehicles per day across the bridge in both directions.</t>
        </r>
      </text>
    </comment>
    <comment ref="A7" authorId="0">
      <text>
        <r>
          <rPr>
            <b/>
            <sz val="9"/>
            <color indexed="81"/>
            <rFont val="Tahoma"/>
            <family val="2"/>
          </rPr>
          <t>If the bridge is on a curve, enter the radius in metres.  This only affects calculations if the radius is less than 600m.  Enter 'N' if the bridge is on tangent.</t>
        </r>
      </text>
    </comment>
    <comment ref="A8" authorId="0">
      <text>
        <r>
          <rPr>
            <b/>
            <sz val="9"/>
            <color indexed="81"/>
            <rFont val="Tahoma"/>
            <family val="2"/>
          </rPr>
          <t>Enter the maximum longitudinal gradient across the bridge (%).</t>
        </r>
      </text>
    </comment>
    <comment ref="A9" authorId="0">
      <text>
        <r>
          <rPr>
            <b/>
            <sz val="9"/>
            <color indexed="81"/>
            <rFont val="Tahoma"/>
            <family val="2"/>
          </rPr>
          <t>The width of the shoulder on the bridge in metres (distance between lane edge and the nearest face of the curb or barrier).</t>
        </r>
      </text>
    </comment>
    <comment ref="A10" authorId="0">
      <text>
        <r>
          <rPr>
            <b/>
            <sz val="9"/>
            <color indexed="81"/>
            <rFont val="Tahoma"/>
            <family val="2"/>
          </rPr>
          <t xml:space="preserve">The height of the bridge above the facility being crossed in metres.average </t>
        </r>
      </text>
    </comment>
    <comment ref="A11" authorId="0">
      <text>
        <r>
          <rPr>
            <b/>
            <sz val="9"/>
            <color indexed="81"/>
            <rFont val="Tahoma"/>
            <family val="2"/>
          </rPr>
          <t>The length of the bridge in metres from abutment to abutment (should match the length of the bridge rail on one side).</t>
        </r>
      </text>
    </comment>
    <comment ref="A12" authorId="0">
      <text>
        <r>
          <rPr>
            <b/>
            <sz val="9"/>
            <color indexed="81"/>
            <rFont val="Tahoma"/>
            <family val="2"/>
          </rPr>
          <t>Is the bridge over another road or rail i.e. a grade separation bridge?  If yes, enter "Y", else "N".</t>
        </r>
      </text>
    </comment>
    <comment ref="A13" authorId="0">
      <text>
        <r>
          <rPr>
            <b/>
            <sz val="9"/>
            <color indexed="81"/>
            <rFont val="Tahoma"/>
            <family val="2"/>
          </rPr>
          <t>If the bridge is over a stream, is the typical depth of water under normal conditions more than 3m deep?  If yes, enter "Y", else "N".</t>
        </r>
      </text>
    </comment>
    <comment ref="A15" authorId="0">
      <text>
        <r>
          <rPr>
            <b/>
            <sz val="9"/>
            <color indexed="81"/>
            <rFont val="Tahoma"/>
            <family val="2"/>
          </rPr>
          <t>Enter the estimated cost ($) to upgrade the bridge rail on both sides.</t>
        </r>
      </text>
    </comment>
    <comment ref="A21" authorId="0">
      <text>
        <r>
          <rPr>
            <b/>
            <sz val="9"/>
            <color indexed="81"/>
            <rFont val="Tahoma"/>
            <family val="2"/>
          </rPr>
          <t>Enter the number of years that the bridge rail upgrade is expected to be in service and providing a benefit.  This will typically be until the bridge is replaced (at least the superstructure).</t>
        </r>
      </text>
    </comment>
    <comment ref="A22" authorId="0">
      <text>
        <r>
          <rPr>
            <b/>
            <sz val="9"/>
            <color indexed="81"/>
            <rFont val="Tahoma"/>
            <family val="2"/>
          </rPr>
          <t>If traffic is projected to grow at a steady rate throughout the life of the bridge rail upgrade, enter the anticipated rate (%).  2% is a common traffic growth rate assumption.</t>
        </r>
      </text>
    </comment>
  </commentList>
</comments>
</file>

<file path=xl/sharedStrings.xml><?xml version="1.0" encoding="utf-8"?>
<sst xmlns="http://schemas.openxmlformats.org/spreadsheetml/2006/main" count="52" uniqueCount="49">
  <si>
    <t>Parameters</t>
  </si>
  <si>
    <t>Collision Cost</t>
  </si>
  <si>
    <t>A</t>
  </si>
  <si>
    <t>Severity Index Coefficient upgrade</t>
  </si>
  <si>
    <t>Fatality</t>
  </si>
  <si>
    <t>SI orig</t>
  </si>
  <si>
    <t>B</t>
  </si>
  <si>
    <t>Design Speed (km/hr)</t>
  </si>
  <si>
    <t>Injury</t>
  </si>
  <si>
    <t>SI upgrade</t>
  </si>
  <si>
    <t>C</t>
  </si>
  <si>
    <t>Hwy Type (U/D)</t>
  </si>
  <si>
    <t>U</t>
  </si>
  <si>
    <t>Property</t>
  </si>
  <si>
    <t>R</t>
  </si>
  <si>
    <t>AADT (vpd)</t>
  </si>
  <si>
    <t>kc</t>
  </si>
  <si>
    <t>Curve Radius (N for None)</t>
  </si>
  <si>
    <t>kg</t>
  </si>
  <si>
    <t>Max Grade (%)</t>
  </si>
  <si>
    <t>P</t>
  </si>
  <si>
    <t>Shoulder Width (m)</t>
  </si>
  <si>
    <t>km</t>
  </si>
  <si>
    <t>ks</t>
  </si>
  <si>
    <t>Bridge Length (m)</t>
  </si>
  <si>
    <t>N</t>
  </si>
  <si>
    <t>Water Depth &gt; 3m (Y/N)?</t>
  </si>
  <si>
    <t>AC base</t>
  </si>
  <si>
    <t>AC upgrade</t>
  </si>
  <si>
    <t>Fatal</t>
  </si>
  <si>
    <t>Cost of Bridge Rail Upgrade</t>
  </si>
  <si>
    <t>Annual User Cost - Original</t>
  </si>
  <si>
    <t>Annual User Cost - Upgrade</t>
  </si>
  <si>
    <t>Annual Difference</t>
  </si>
  <si>
    <t>No. years of benefit</t>
  </si>
  <si>
    <t>i</t>
  </si>
  <si>
    <t>Traffic Growth Rate (%)</t>
  </si>
  <si>
    <t>P/A</t>
  </si>
  <si>
    <t>BC Ratio</t>
  </si>
  <si>
    <t>Modifications :</t>
  </si>
  <si>
    <t>Bridge Rail Upgrade Cost Analysis</t>
  </si>
  <si>
    <t>Build : Apr 26, 2016</t>
  </si>
  <si>
    <t>Alberta Transportation - Technical Standards Branch, Bridge Engineering Section</t>
  </si>
  <si>
    <t>Apr 26, 2016 - First Version</t>
  </si>
  <si>
    <t>This tool calculates the Benefit Cost ratio for a bridge rail upgrade based on the process described in Appendix C of the Alberta Transportation Bridge Assessment Guidelines.</t>
  </si>
  <si>
    <t>Bridge Height (m)</t>
  </si>
  <si>
    <t>Over road (Y/N)?</t>
  </si>
  <si>
    <t>Benefit - NPV User Cost Savings</t>
  </si>
  <si>
    <t>Calculated Factors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</si>
</sst>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00"/>
    <numFmt numFmtId="165" formatCode="_(&quot;$&quot;* #,##0_);_(&quot;$&quot;* \(#,##0\);_(&quot;$&quot;* &quot;-&quot;??_);_(@_)"/>
    <numFmt numFmtId="166" formatCode="0.0"/>
    <numFmt numFmtId="167" formatCode="mmmm\ d\,\ yyyy"/>
  </numFmts>
  <fonts count="15" x14ac:knownFonts="1">
    <font>
      <sz val="11"/>
      <color theme="1"/>
      <name val="Calibri"/>
      <family val="2"/>
      <scheme val="minor"/>
    </font>
    <font>
      <sz val="11"/>
      <color theme="1"/>
      <name val="Calibri"/>
      <family val="2"/>
      <scheme val="minor"/>
    </font>
    <font>
      <b/>
      <sz val="11"/>
      <color rgb="FF00B050"/>
      <name val="Calibri"/>
      <family val="2"/>
      <scheme val="minor"/>
    </font>
    <font>
      <b/>
      <sz val="14"/>
      <color theme="1"/>
      <name val="Calibri"/>
      <family val="2"/>
      <scheme val="minor"/>
    </font>
    <font>
      <b/>
      <sz val="14"/>
      <color rgb="FF00B050"/>
      <name val="Calibri"/>
      <family val="2"/>
      <scheme val="minor"/>
    </font>
    <font>
      <sz val="14"/>
      <color theme="1"/>
      <name val="Calibri"/>
      <family val="2"/>
      <scheme val="minor"/>
    </font>
    <font>
      <b/>
      <sz val="14"/>
      <color rgb="FFFF0000"/>
      <name val="Calibri"/>
      <family val="2"/>
      <scheme val="minor"/>
    </font>
    <font>
      <sz val="12"/>
      <color theme="1"/>
      <name val="Calibri"/>
      <family val="2"/>
      <scheme val="minor"/>
    </font>
    <font>
      <sz val="10"/>
      <name val="Arial"/>
      <family val="2"/>
    </font>
    <font>
      <b/>
      <sz val="20"/>
      <color indexed="48"/>
      <name val="Arial"/>
      <family val="2"/>
    </font>
    <font>
      <sz val="14"/>
      <color indexed="10"/>
      <name val="Arial"/>
      <family val="2"/>
    </font>
    <font>
      <b/>
      <sz val="10"/>
      <name val="Arial"/>
      <family val="2"/>
    </font>
    <font>
      <b/>
      <sz val="9"/>
      <color indexed="81"/>
      <name val="Tahoma"/>
      <family val="2"/>
    </font>
    <font>
      <b/>
      <sz val="14"/>
      <color rgb="FF0000FF"/>
      <name val="Calibri"/>
      <family val="2"/>
      <scheme val="minor"/>
    </font>
    <font>
      <b/>
      <sz val="18"/>
      <color rgb="FF0000FF"/>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0" fontId="8" fillId="0" borderId="0"/>
  </cellStyleXfs>
  <cellXfs count="2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64" fontId="0" fillId="0" borderId="0" xfId="0" applyNumberFormat="1"/>
    <xf numFmtId="0" fontId="6" fillId="0" borderId="0" xfId="0" applyFont="1"/>
    <xf numFmtId="0" fontId="7" fillId="0" borderId="0" xfId="0" applyFont="1"/>
    <xf numFmtId="0" fontId="4" fillId="0" borderId="0" xfId="0" applyFont="1" applyAlignment="1">
      <alignment horizontal="right"/>
    </xf>
    <xf numFmtId="164" fontId="7" fillId="0" borderId="0" xfId="0" applyNumberFormat="1" applyFont="1"/>
    <xf numFmtId="0" fontId="0" fillId="0" borderId="0" xfId="0" applyAlignment="1">
      <alignment horizontal="right"/>
    </xf>
    <xf numFmtId="2" fontId="4" fillId="0" borderId="0" xfId="0" applyNumberFormat="1" applyFont="1" applyAlignment="1">
      <alignment horizontal="right"/>
    </xf>
    <xf numFmtId="165" fontId="7" fillId="0" borderId="0" xfId="1" applyNumberFormat="1" applyFont="1"/>
    <xf numFmtId="165" fontId="4" fillId="0" borderId="0" xfId="1" applyNumberFormat="1" applyFont="1"/>
    <xf numFmtId="165" fontId="4" fillId="0" borderId="0" xfId="0" applyNumberFormat="1" applyFont="1"/>
    <xf numFmtId="2" fontId="7" fillId="0" borderId="0" xfId="0" applyNumberFormat="1" applyFont="1"/>
    <xf numFmtId="0" fontId="9" fillId="0" borderId="0" xfId="2" applyFont="1"/>
    <xf numFmtId="0" fontId="8" fillId="0" borderId="0" xfId="2"/>
    <xf numFmtId="167" fontId="10" fillId="0" borderId="0" xfId="2" applyNumberFormat="1" applyFont="1" applyAlignment="1">
      <alignment horizontal="left"/>
    </xf>
    <xf numFmtId="0" fontId="11" fillId="0" borderId="0" xfId="2" applyFont="1" applyAlignment="1">
      <alignment vertical="top" wrapText="1"/>
    </xf>
    <xf numFmtId="0" fontId="8" fillId="0" borderId="0" xfId="2" applyAlignment="1">
      <alignment vertical="top"/>
    </xf>
    <xf numFmtId="0" fontId="8" fillId="0" borderId="0" xfId="2" applyAlignment="1">
      <alignment horizontal="left" indent="3"/>
    </xf>
    <xf numFmtId="0" fontId="8" fillId="0" borderId="0" xfId="2" applyAlignment="1"/>
    <xf numFmtId="0" fontId="8" fillId="0" borderId="0" xfId="2" applyFont="1" applyAlignment="1">
      <alignment horizontal="left" indent="3"/>
    </xf>
    <xf numFmtId="0" fontId="8" fillId="0" borderId="0" xfId="2" applyAlignment="1">
      <alignment wrapText="1"/>
    </xf>
    <xf numFmtId="165" fontId="13" fillId="0" borderId="0" xfId="1" applyNumberFormat="1" applyFont="1"/>
    <xf numFmtId="165" fontId="13" fillId="0" borderId="0" xfId="0" applyNumberFormat="1" applyFont="1"/>
    <xf numFmtId="166" fontId="14" fillId="0" borderId="0" xfId="0" applyNumberFormat="1" applyFont="1"/>
  </cellXfs>
  <cellStyles count="3">
    <cellStyle name="Currency"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B3:B25"/>
  <sheetViews>
    <sheetView workbookViewId="0">
      <selection activeCell="B15" sqref="B15"/>
    </sheetView>
  </sheetViews>
  <sheetFormatPr defaultRowHeight="12.75" x14ac:dyDescent="0.2"/>
  <cols>
    <col min="1" max="1" width="9.140625" style="17"/>
    <col min="2" max="2" width="93.5703125" style="17" customWidth="1"/>
    <col min="3" max="257" width="9.140625" style="17"/>
    <col min="258" max="258" width="93.5703125" style="17" customWidth="1"/>
    <col min="259" max="513" width="9.140625" style="17"/>
    <col min="514" max="514" width="93.5703125" style="17" customWidth="1"/>
    <col min="515" max="769" width="9.140625" style="17"/>
    <col min="770" max="770" width="93.5703125" style="17" customWidth="1"/>
    <col min="771" max="1025" width="9.140625" style="17"/>
    <col min="1026" max="1026" width="93.5703125" style="17" customWidth="1"/>
    <col min="1027" max="1281" width="9.140625" style="17"/>
    <col min="1282" max="1282" width="93.5703125" style="17" customWidth="1"/>
    <col min="1283" max="1537" width="9.140625" style="17"/>
    <col min="1538" max="1538" width="93.5703125" style="17" customWidth="1"/>
    <col min="1539" max="1793" width="9.140625" style="17"/>
    <col min="1794" max="1794" width="93.5703125" style="17" customWidth="1"/>
    <col min="1795" max="2049" width="9.140625" style="17"/>
    <col min="2050" max="2050" width="93.5703125" style="17" customWidth="1"/>
    <col min="2051" max="2305" width="9.140625" style="17"/>
    <col min="2306" max="2306" width="93.5703125" style="17" customWidth="1"/>
    <col min="2307" max="2561" width="9.140625" style="17"/>
    <col min="2562" max="2562" width="93.5703125" style="17" customWidth="1"/>
    <col min="2563" max="2817" width="9.140625" style="17"/>
    <col min="2818" max="2818" width="93.5703125" style="17" customWidth="1"/>
    <col min="2819" max="3073" width="9.140625" style="17"/>
    <col min="3074" max="3074" width="93.5703125" style="17" customWidth="1"/>
    <col min="3075" max="3329" width="9.140625" style="17"/>
    <col min="3330" max="3330" width="93.5703125" style="17" customWidth="1"/>
    <col min="3331" max="3585" width="9.140625" style="17"/>
    <col min="3586" max="3586" width="93.5703125" style="17" customWidth="1"/>
    <col min="3587" max="3841" width="9.140625" style="17"/>
    <col min="3842" max="3842" width="93.5703125" style="17" customWidth="1"/>
    <col min="3843" max="4097" width="9.140625" style="17"/>
    <col min="4098" max="4098" width="93.5703125" style="17" customWidth="1"/>
    <col min="4099" max="4353" width="9.140625" style="17"/>
    <col min="4354" max="4354" width="93.5703125" style="17" customWidth="1"/>
    <col min="4355" max="4609" width="9.140625" style="17"/>
    <col min="4610" max="4610" width="93.5703125" style="17" customWidth="1"/>
    <col min="4611" max="4865" width="9.140625" style="17"/>
    <col min="4866" max="4866" width="93.5703125" style="17" customWidth="1"/>
    <col min="4867" max="5121" width="9.140625" style="17"/>
    <col min="5122" max="5122" width="93.5703125" style="17" customWidth="1"/>
    <col min="5123" max="5377" width="9.140625" style="17"/>
    <col min="5378" max="5378" width="93.5703125" style="17" customWidth="1"/>
    <col min="5379" max="5633" width="9.140625" style="17"/>
    <col min="5634" max="5634" width="93.5703125" style="17" customWidth="1"/>
    <col min="5635" max="5889" width="9.140625" style="17"/>
    <col min="5890" max="5890" width="93.5703125" style="17" customWidth="1"/>
    <col min="5891" max="6145" width="9.140625" style="17"/>
    <col min="6146" max="6146" width="93.5703125" style="17" customWidth="1"/>
    <col min="6147" max="6401" width="9.140625" style="17"/>
    <col min="6402" max="6402" width="93.5703125" style="17" customWidth="1"/>
    <col min="6403" max="6657" width="9.140625" style="17"/>
    <col min="6658" max="6658" width="93.5703125" style="17" customWidth="1"/>
    <col min="6659" max="6913" width="9.140625" style="17"/>
    <col min="6914" max="6914" width="93.5703125" style="17" customWidth="1"/>
    <col min="6915" max="7169" width="9.140625" style="17"/>
    <col min="7170" max="7170" width="93.5703125" style="17" customWidth="1"/>
    <col min="7171" max="7425" width="9.140625" style="17"/>
    <col min="7426" max="7426" width="93.5703125" style="17" customWidth="1"/>
    <col min="7427" max="7681" width="9.140625" style="17"/>
    <col min="7682" max="7682" width="93.5703125" style="17" customWidth="1"/>
    <col min="7683" max="7937" width="9.140625" style="17"/>
    <col min="7938" max="7938" width="93.5703125" style="17" customWidth="1"/>
    <col min="7939" max="8193" width="9.140625" style="17"/>
    <col min="8194" max="8194" width="93.5703125" style="17" customWidth="1"/>
    <col min="8195" max="8449" width="9.140625" style="17"/>
    <col min="8450" max="8450" width="93.5703125" style="17" customWidth="1"/>
    <col min="8451" max="8705" width="9.140625" style="17"/>
    <col min="8706" max="8706" width="93.5703125" style="17" customWidth="1"/>
    <col min="8707" max="8961" width="9.140625" style="17"/>
    <col min="8962" max="8962" width="93.5703125" style="17" customWidth="1"/>
    <col min="8963" max="9217" width="9.140625" style="17"/>
    <col min="9218" max="9218" width="93.5703125" style="17" customWidth="1"/>
    <col min="9219" max="9473" width="9.140625" style="17"/>
    <col min="9474" max="9474" width="93.5703125" style="17" customWidth="1"/>
    <col min="9475" max="9729" width="9.140625" style="17"/>
    <col min="9730" max="9730" width="93.5703125" style="17" customWidth="1"/>
    <col min="9731" max="9985" width="9.140625" style="17"/>
    <col min="9986" max="9986" width="93.5703125" style="17" customWidth="1"/>
    <col min="9987" max="10241" width="9.140625" style="17"/>
    <col min="10242" max="10242" width="93.5703125" style="17" customWidth="1"/>
    <col min="10243" max="10497" width="9.140625" style="17"/>
    <col min="10498" max="10498" width="93.5703125" style="17" customWidth="1"/>
    <col min="10499" max="10753" width="9.140625" style="17"/>
    <col min="10754" max="10754" width="93.5703125" style="17" customWidth="1"/>
    <col min="10755" max="11009" width="9.140625" style="17"/>
    <col min="11010" max="11010" width="93.5703125" style="17" customWidth="1"/>
    <col min="11011" max="11265" width="9.140625" style="17"/>
    <col min="11266" max="11266" width="93.5703125" style="17" customWidth="1"/>
    <col min="11267" max="11521" width="9.140625" style="17"/>
    <col min="11522" max="11522" width="93.5703125" style="17" customWidth="1"/>
    <col min="11523" max="11777" width="9.140625" style="17"/>
    <col min="11778" max="11778" width="93.5703125" style="17" customWidth="1"/>
    <col min="11779" max="12033" width="9.140625" style="17"/>
    <col min="12034" max="12034" width="93.5703125" style="17" customWidth="1"/>
    <col min="12035" max="12289" width="9.140625" style="17"/>
    <col min="12290" max="12290" width="93.5703125" style="17" customWidth="1"/>
    <col min="12291" max="12545" width="9.140625" style="17"/>
    <col min="12546" max="12546" width="93.5703125" style="17" customWidth="1"/>
    <col min="12547" max="12801" width="9.140625" style="17"/>
    <col min="12802" max="12802" width="93.5703125" style="17" customWidth="1"/>
    <col min="12803" max="13057" width="9.140625" style="17"/>
    <col min="13058" max="13058" width="93.5703125" style="17" customWidth="1"/>
    <col min="13059" max="13313" width="9.140625" style="17"/>
    <col min="13314" max="13314" width="93.5703125" style="17" customWidth="1"/>
    <col min="13315" max="13569" width="9.140625" style="17"/>
    <col min="13570" max="13570" width="93.5703125" style="17" customWidth="1"/>
    <col min="13571" max="13825" width="9.140625" style="17"/>
    <col min="13826" max="13826" width="93.5703125" style="17" customWidth="1"/>
    <col min="13827" max="14081" width="9.140625" style="17"/>
    <col min="14082" max="14082" width="93.5703125" style="17" customWidth="1"/>
    <col min="14083" max="14337" width="9.140625" style="17"/>
    <col min="14338" max="14338" width="93.5703125" style="17" customWidth="1"/>
    <col min="14339" max="14593" width="9.140625" style="17"/>
    <col min="14594" max="14594" width="93.5703125" style="17" customWidth="1"/>
    <col min="14595" max="14849" width="9.140625" style="17"/>
    <col min="14850" max="14850" width="93.5703125" style="17" customWidth="1"/>
    <col min="14851" max="15105" width="9.140625" style="17"/>
    <col min="15106" max="15106" width="93.5703125" style="17" customWidth="1"/>
    <col min="15107" max="15361" width="9.140625" style="17"/>
    <col min="15362" max="15362" width="93.5703125" style="17" customWidth="1"/>
    <col min="15363" max="15617" width="9.140625" style="17"/>
    <col min="15618" max="15618" width="93.5703125" style="17" customWidth="1"/>
    <col min="15619" max="15873" width="9.140625" style="17"/>
    <col min="15874" max="15874" width="93.5703125" style="17" customWidth="1"/>
    <col min="15875" max="16129" width="9.140625" style="17"/>
    <col min="16130" max="16130" width="93.5703125" style="17" customWidth="1"/>
    <col min="16131" max="16384" width="9.140625" style="17"/>
  </cols>
  <sheetData>
    <row r="3" spans="2:2" ht="26.25" x14ac:dyDescent="0.4">
      <c r="B3" s="16" t="s">
        <v>40</v>
      </c>
    </row>
    <row r="5" spans="2:2" ht="18" x14ac:dyDescent="0.25">
      <c r="B5" s="18" t="s">
        <v>41</v>
      </c>
    </row>
    <row r="7" spans="2:2" s="20" customFormat="1" x14ac:dyDescent="0.25">
      <c r="B7" s="19" t="s">
        <v>42</v>
      </c>
    </row>
    <row r="9" spans="2:2" ht="25.5" x14ac:dyDescent="0.2">
      <c r="B9" s="24" t="s">
        <v>44</v>
      </c>
    </row>
    <row r="11" spans="2:2" x14ac:dyDescent="0.2">
      <c r="B11" s="22" t="s">
        <v>39</v>
      </c>
    </row>
    <row r="12" spans="2:2" x14ac:dyDescent="0.2">
      <c r="B12" s="21" t="s">
        <v>43</v>
      </c>
    </row>
    <row r="13" spans="2:2" x14ac:dyDescent="0.2">
      <c r="B13" s="21"/>
    </row>
    <row r="14" spans="2:2" x14ac:dyDescent="0.2">
      <c r="B14" s="21"/>
    </row>
    <row r="15" spans="2:2" x14ac:dyDescent="0.2">
      <c r="B15" s="21"/>
    </row>
    <row r="16" spans="2:2" x14ac:dyDescent="0.2">
      <c r="B16" s="21"/>
    </row>
    <row r="17" spans="2:2" x14ac:dyDescent="0.2">
      <c r="B17" s="21"/>
    </row>
    <row r="18" spans="2:2" x14ac:dyDescent="0.2">
      <c r="B18" s="21"/>
    </row>
    <row r="19" spans="2:2" x14ac:dyDescent="0.2">
      <c r="B19" s="21"/>
    </row>
    <row r="20" spans="2:2" x14ac:dyDescent="0.2">
      <c r="B20" s="21"/>
    </row>
    <row r="21" spans="2:2" x14ac:dyDescent="0.2">
      <c r="B21" s="21"/>
    </row>
    <row r="22" spans="2:2" x14ac:dyDescent="0.2">
      <c r="B22" s="21"/>
    </row>
    <row r="23" spans="2:2" x14ac:dyDescent="0.2">
      <c r="B23" s="21"/>
    </row>
    <row r="24" spans="2:2" x14ac:dyDescent="0.2">
      <c r="B24" s="21"/>
    </row>
    <row r="25" spans="2:2" x14ac:dyDescent="0.2">
      <c r="B25" s="23"/>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6"/>
  <sheetViews>
    <sheetView tabSelected="1" workbookViewId="0">
      <selection activeCell="G3" sqref="G3"/>
    </sheetView>
  </sheetViews>
  <sheetFormatPr defaultRowHeight="15" x14ac:dyDescent="0.25"/>
  <cols>
    <col min="1" max="1" width="39.85546875" bestFit="1" customWidth="1"/>
    <col min="2" max="2" width="17.5703125" style="1" bestFit="1" customWidth="1"/>
    <col min="3" max="3" width="10.28515625" customWidth="1"/>
    <col min="4" max="4" width="13.140625" bestFit="1" customWidth="1"/>
    <col min="5" max="5" width="11.28515625" bestFit="1" customWidth="1"/>
    <col min="7" max="7" width="14.140625" bestFit="1" customWidth="1"/>
    <col min="8" max="8" width="13.85546875" bestFit="1" customWidth="1"/>
    <col min="15" max="15" width="10.28515625" bestFit="1" customWidth="1"/>
    <col min="19" max="19" width="5.85546875" customWidth="1"/>
  </cols>
  <sheetData>
    <row r="1" spans="1:25" x14ac:dyDescent="0.25">
      <c r="T1">
        <v>8000</v>
      </c>
      <c r="V1">
        <v>6000</v>
      </c>
      <c r="X1">
        <v>300</v>
      </c>
      <c r="Y1">
        <v>600</v>
      </c>
    </row>
    <row r="2" spans="1:25" ht="18.75" x14ac:dyDescent="0.3">
      <c r="A2" s="2" t="s">
        <v>0</v>
      </c>
      <c r="B2" s="3"/>
      <c r="C2" s="4"/>
      <c r="D2" s="2" t="s">
        <v>1</v>
      </c>
      <c r="E2" s="4"/>
      <c r="F2" s="4"/>
      <c r="G2" s="4" t="s">
        <v>48</v>
      </c>
      <c r="H2" s="4"/>
      <c r="S2" t="s">
        <v>2</v>
      </c>
      <c r="T2">
        <v>-3.718</v>
      </c>
      <c r="V2">
        <v>-1.274</v>
      </c>
      <c r="W2" s="5">
        <v>5.6000000000000001E-2</v>
      </c>
      <c r="X2">
        <v>0.27100000000000002</v>
      </c>
    </row>
    <row r="3" spans="1:25" ht="18.75" x14ac:dyDescent="0.3">
      <c r="A3" s="4" t="s">
        <v>3</v>
      </c>
      <c r="B3" s="3">
        <v>3.2000000000000001E-2</v>
      </c>
      <c r="C3" s="4"/>
      <c r="D3" s="4" t="s">
        <v>4</v>
      </c>
      <c r="E3" s="6">
        <v>9464015</v>
      </c>
      <c r="F3" s="4"/>
      <c r="G3" s="7" t="s">
        <v>5</v>
      </c>
      <c r="H3" s="7">
        <f>2.1+0.037*(B4-60)</f>
        <v>3.58</v>
      </c>
      <c r="S3" t="s">
        <v>6</v>
      </c>
      <c r="T3">
        <v>3.7559999999999998</v>
      </c>
      <c r="U3">
        <v>0.22600000000000001</v>
      </c>
      <c r="V3">
        <v>1.3959999999999999</v>
      </c>
      <c r="W3" s="5">
        <v>0.14799999999999999</v>
      </c>
      <c r="X3">
        <v>-3.407</v>
      </c>
    </row>
    <row r="4" spans="1:25" ht="18.75" x14ac:dyDescent="0.3">
      <c r="A4" s="4" t="s">
        <v>7</v>
      </c>
      <c r="B4" s="3">
        <v>100</v>
      </c>
      <c r="C4" s="4"/>
      <c r="D4" s="4" t="s">
        <v>8</v>
      </c>
      <c r="E4" s="6">
        <v>59919</v>
      </c>
      <c r="F4" s="4"/>
      <c r="G4" s="7" t="s">
        <v>9</v>
      </c>
      <c r="H4" s="7">
        <f>2.1+B3*(B4-60)</f>
        <v>3.38</v>
      </c>
      <c r="S4" t="s">
        <v>10</v>
      </c>
      <c r="T4">
        <v>4.0000000000000001E-3</v>
      </c>
      <c r="U4">
        <v>0.45300000000000001</v>
      </c>
      <c r="V4">
        <v>1E-3</v>
      </c>
      <c r="W4">
        <v>0.27500000000000002</v>
      </c>
      <c r="X4">
        <v>11.707000000000001</v>
      </c>
    </row>
    <row r="5" spans="1:25" ht="18.75" x14ac:dyDescent="0.3">
      <c r="A5" s="4" t="s">
        <v>11</v>
      </c>
      <c r="B5" s="8" t="s">
        <v>12</v>
      </c>
      <c r="C5" s="4"/>
      <c r="D5" s="4" t="s">
        <v>13</v>
      </c>
      <c r="E5" s="6">
        <v>8520</v>
      </c>
      <c r="F5" s="4"/>
      <c r="G5" s="7" t="s">
        <v>14</v>
      </c>
      <c r="H5" s="9">
        <f>IF(B5="U",IF(B6&lt;T1,T6,U6),IF(B6&lt;V1,V6,W6))</f>
        <v>0.53506979999999993</v>
      </c>
    </row>
    <row r="6" spans="1:25" ht="18.75" x14ac:dyDescent="0.3">
      <c r="A6" s="4" t="s">
        <v>15</v>
      </c>
      <c r="B6" s="3">
        <v>1700</v>
      </c>
      <c r="C6" s="4"/>
      <c r="D6" s="4"/>
      <c r="E6" s="4"/>
      <c r="F6" s="4"/>
      <c r="G6" s="7" t="s">
        <v>16</v>
      </c>
      <c r="H6" s="9">
        <f>IF(B7&lt;&gt;"N",IF(B7&lt;300,4,IF(B7&gt;600,1,X7)),1)</f>
        <v>1.8632500000000007</v>
      </c>
      <c r="Q6" s="5"/>
      <c r="T6">
        <f>T2*(B6/10000)^2+T3*(B6/10000)+T4</f>
        <v>0.53506979999999993</v>
      </c>
      <c r="U6">
        <f>U3*(B6/10000)+U4</f>
        <v>0.49142000000000002</v>
      </c>
      <c r="V6">
        <f>V2*(B6/10000)^2+V3*(B6/10000)+V4</f>
        <v>0.2015014</v>
      </c>
      <c r="W6">
        <f>W2*(B6/10000)^2+W3*(B6/10000)+W4</f>
        <v>0.3017784</v>
      </c>
    </row>
    <row r="7" spans="1:25" ht="18.75" x14ac:dyDescent="0.3">
      <c r="A7" s="4" t="s">
        <v>17</v>
      </c>
      <c r="B7" s="8">
        <v>450</v>
      </c>
      <c r="C7" s="4"/>
      <c r="D7" s="4"/>
      <c r="E7" s="4"/>
      <c r="F7" s="4"/>
      <c r="G7" s="7" t="s">
        <v>18</v>
      </c>
      <c r="H7" s="7">
        <f>IF(B8&gt;2,1+0.25*(B8-2),1)</f>
        <v>1</v>
      </c>
      <c r="Q7" s="5"/>
      <c r="X7">
        <f>X2*(B7/100)^2+X3*(B7/100)+X4</f>
        <v>1.8632500000000007</v>
      </c>
    </row>
    <row r="8" spans="1:25" ht="18.75" x14ac:dyDescent="0.3">
      <c r="A8" s="4" t="s">
        <v>19</v>
      </c>
      <c r="B8" s="3">
        <v>2</v>
      </c>
      <c r="C8" s="4"/>
      <c r="D8" s="4"/>
      <c r="E8" s="4"/>
      <c r="F8" s="4"/>
      <c r="G8" s="7" t="s">
        <v>20</v>
      </c>
      <c r="H8" s="9">
        <f>V9</f>
        <v>0.79300000000000004</v>
      </c>
    </row>
    <row r="9" spans="1:25" ht="18.75" x14ac:dyDescent="0.3">
      <c r="A9" s="4" t="s">
        <v>21</v>
      </c>
      <c r="B9" s="3">
        <v>0.9</v>
      </c>
      <c r="C9" s="4"/>
      <c r="D9" s="4"/>
      <c r="E9" s="4"/>
      <c r="F9" s="4"/>
      <c r="G9" s="7" t="s">
        <v>22</v>
      </c>
      <c r="H9" s="9">
        <f>U10</f>
        <v>1.5960000000000001</v>
      </c>
      <c r="Q9" s="5"/>
      <c r="T9">
        <f>B4/100</f>
        <v>1</v>
      </c>
      <c r="U9">
        <f>-0.26*T9^2+0.88*T9+0.15</f>
        <v>0.77</v>
      </c>
      <c r="V9">
        <f>IF(B9&lt;1,1-B9*(1-U9),-0.265*LN(B9)+U9)</f>
        <v>0.79300000000000004</v>
      </c>
    </row>
    <row r="10" spans="1:25" ht="18.75" x14ac:dyDescent="0.3">
      <c r="A10" s="4" t="s">
        <v>45</v>
      </c>
      <c r="B10" s="3">
        <v>20</v>
      </c>
      <c r="C10" s="4"/>
      <c r="D10" s="4"/>
      <c r="E10" s="4"/>
      <c r="F10" s="4"/>
      <c r="G10" s="7" t="s">
        <v>23</v>
      </c>
      <c r="H10" s="7">
        <f>IF(T12="l",U12,V12)</f>
        <v>2.2000000000000002</v>
      </c>
      <c r="Q10" s="5"/>
      <c r="U10">
        <f>-0.348*T9^2+1.304*T9+0.64</f>
        <v>1.5960000000000001</v>
      </c>
    </row>
    <row r="11" spans="1:25" ht="18.75" x14ac:dyDescent="0.3">
      <c r="A11" s="4" t="s">
        <v>24</v>
      </c>
      <c r="B11" s="3">
        <v>450</v>
      </c>
      <c r="C11" s="4"/>
      <c r="D11" s="4"/>
      <c r="E11" s="4"/>
      <c r="F11" s="4"/>
      <c r="G11" s="7"/>
      <c r="H11" s="7"/>
      <c r="Q11" s="5"/>
    </row>
    <row r="12" spans="1:25" ht="18.75" x14ac:dyDescent="0.3">
      <c r="A12" s="4" t="s">
        <v>46</v>
      </c>
      <c r="B12" s="8" t="s">
        <v>25</v>
      </c>
      <c r="C12" s="4"/>
      <c r="D12" s="4"/>
      <c r="E12" s="4"/>
      <c r="F12" s="4"/>
      <c r="G12" s="7"/>
      <c r="H12" s="7"/>
      <c r="T12" s="10" t="str">
        <f>IF(B12="Y","H",IF(B13="Y","H","L"))</f>
        <v>L</v>
      </c>
      <c r="U12">
        <f>IF(B10&lt;8,0.7,IF(B10&gt;24,2.7,0.7+0.125*(B10-8)))</f>
        <v>2.2000000000000002</v>
      </c>
      <c r="V12">
        <f>IF(B10&lt;5,0.7,IF(B10&gt;24,2.9,0.7+0.113*(B10-5)))</f>
        <v>2.395</v>
      </c>
    </row>
    <row r="13" spans="1:25" ht="18.75" x14ac:dyDescent="0.3">
      <c r="A13" s="4" t="s">
        <v>26</v>
      </c>
      <c r="B13" s="11" t="s">
        <v>25</v>
      </c>
      <c r="C13" s="4"/>
      <c r="D13" s="4"/>
      <c r="E13" s="4"/>
      <c r="F13" s="4"/>
      <c r="G13" s="7" t="s">
        <v>27</v>
      </c>
      <c r="H13" s="12">
        <f>X20</f>
        <v>219512.53043235283</v>
      </c>
    </row>
    <row r="14" spans="1:25" ht="18.75" x14ac:dyDescent="0.3">
      <c r="A14" s="4"/>
      <c r="B14" s="3"/>
      <c r="C14" s="4"/>
      <c r="D14" s="4"/>
      <c r="E14" s="4"/>
      <c r="F14" s="4"/>
      <c r="G14" s="7" t="s">
        <v>28</v>
      </c>
      <c r="H14" s="12">
        <f>X21</f>
        <v>177915.20158410879</v>
      </c>
      <c r="T14" t="s">
        <v>29</v>
      </c>
      <c r="U14" t="s">
        <v>8</v>
      </c>
      <c r="V14" t="s">
        <v>13</v>
      </c>
    </row>
    <row r="15" spans="1:25" ht="18.75" x14ac:dyDescent="0.3">
      <c r="A15" s="4" t="s">
        <v>30</v>
      </c>
      <c r="B15" s="13">
        <v>100000</v>
      </c>
      <c r="C15" s="4"/>
      <c r="D15" s="4"/>
      <c r="E15" s="4"/>
      <c r="F15" s="4"/>
      <c r="G15" s="7"/>
      <c r="H15" s="7"/>
      <c r="T15">
        <v>0.1893</v>
      </c>
      <c r="U15">
        <v>-0.75319999999999998</v>
      </c>
    </row>
    <row r="16" spans="1:25" ht="18.75" x14ac:dyDescent="0.3">
      <c r="A16" s="4"/>
      <c r="B16" s="3"/>
      <c r="C16" s="4"/>
      <c r="D16" s="4"/>
      <c r="E16" s="4"/>
      <c r="F16" s="4"/>
      <c r="G16" s="7"/>
      <c r="H16" s="7"/>
      <c r="T16">
        <v>-0.93810000000000004</v>
      </c>
      <c r="U16">
        <v>3.6522999999999999</v>
      </c>
    </row>
    <row r="17" spans="1:24" ht="18.75" x14ac:dyDescent="0.3">
      <c r="A17" s="4" t="s">
        <v>31</v>
      </c>
      <c r="B17" s="25">
        <f>H13*H5*H6*H7*H8*H9*H10*B11/1000</f>
        <v>274209.28383150802</v>
      </c>
      <c r="C17" s="4"/>
      <c r="D17" s="4"/>
      <c r="E17" s="4"/>
      <c r="F17" s="4"/>
      <c r="G17" s="7"/>
      <c r="H17" s="7"/>
      <c r="T17">
        <v>1.7552000000000001</v>
      </c>
      <c r="U17">
        <v>19.286000000000001</v>
      </c>
    </row>
    <row r="18" spans="1:24" ht="18.75" x14ac:dyDescent="0.3">
      <c r="A18" s="4" t="s">
        <v>32</v>
      </c>
      <c r="B18" s="25">
        <f>H14*H5*H6*H7*H8*H9*H10*B11/1000</f>
        <v>222246.99388699018</v>
      </c>
      <c r="C18" s="4"/>
      <c r="D18" s="4"/>
      <c r="E18" s="4"/>
      <c r="F18" s="4"/>
      <c r="G18" s="7"/>
      <c r="H18" s="7"/>
      <c r="T18">
        <v>-1.0625</v>
      </c>
      <c r="U18">
        <v>-17.315999999999999</v>
      </c>
    </row>
    <row r="19" spans="1:24" ht="18.75" x14ac:dyDescent="0.3">
      <c r="A19" s="4" t="s">
        <v>33</v>
      </c>
      <c r="B19" s="26">
        <f>B17-B18</f>
        <v>51962.289944517834</v>
      </c>
      <c r="C19" s="4"/>
      <c r="D19" s="4"/>
      <c r="E19" s="4"/>
      <c r="F19" s="4"/>
      <c r="G19" s="7"/>
      <c r="H19" s="7"/>
    </row>
    <row r="20" spans="1:24" ht="18.75" x14ac:dyDescent="0.3">
      <c r="A20" s="4"/>
      <c r="B20" s="3"/>
      <c r="C20" s="4"/>
      <c r="D20" s="4"/>
      <c r="E20" s="4"/>
      <c r="F20" s="4"/>
      <c r="G20" s="7"/>
      <c r="H20" s="7"/>
      <c r="S20">
        <f>H3</f>
        <v>3.58</v>
      </c>
      <c r="T20">
        <f>T$15*$S20^3+T$16*$S20^2+T$17*$S20+T$18</f>
        <v>1.8836485415999995</v>
      </c>
      <c r="U20">
        <f>U$15*$S20^3+U$16*$S20^2+U$17*$S20+U$18</f>
        <v>63.978359041599987</v>
      </c>
      <c r="V20">
        <f>100-U20-T20</f>
        <v>34.137992416800017</v>
      </c>
      <c r="X20">
        <f>T20/100*$E$3+U20/100*$E$4+V20/100*$E$5</f>
        <v>219512.53043235283</v>
      </c>
    </row>
    <row r="21" spans="1:24" ht="18.75" x14ac:dyDescent="0.3">
      <c r="A21" s="4" t="s">
        <v>34</v>
      </c>
      <c r="B21" s="3">
        <v>25</v>
      </c>
      <c r="C21" s="4"/>
      <c r="D21" s="4"/>
      <c r="E21" s="4"/>
      <c r="F21" s="4"/>
      <c r="G21" s="7" t="s">
        <v>35</v>
      </c>
      <c r="H21" s="7">
        <f>4-B22</f>
        <v>2</v>
      </c>
      <c r="S21">
        <f>H4</f>
        <v>3.38</v>
      </c>
      <c r="T21">
        <f>T$15*$S21^3+T$16*$S21^2+T$17*$S21+T$18</f>
        <v>1.4625659095999994</v>
      </c>
      <c r="U21">
        <f>U$15*$S21^3+U$16*$S21^2+U$17*$S21+U$18</f>
        <v>60.511595809599996</v>
      </c>
      <c r="V21">
        <f>100-U21-T21</f>
        <v>38.025838280800002</v>
      </c>
      <c r="X21">
        <f>T21/100*$E$3+U21/100*$E$4+V21/100*$E$5</f>
        <v>177915.20158410879</v>
      </c>
    </row>
    <row r="22" spans="1:24" ht="18.75" x14ac:dyDescent="0.3">
      <c r="A22" s="4" t="s">
        <v>36</v>
      </c>
      <c r="B22" s="3">
        <v>2</v>
      </c>
      <c r="C22" s="4"/>
      <c r="D22" s="4"/>
      <c r="E22" s="4"/>
      <c r="F22" s="4"/>
      <c r="G22" s="7" t="s">
        <v>37</v>
      </c>
      <c r="H22" s="15">
        <f>((1+H21/100)^B21-1)/(H21/100*(1+H21/100)^B21)</f>
        <v>19.523456473586034</v>
      </c>
    </row>
    <row r="23" spans="1:24" ht="18.75" x14ac:dyDescent="0.3">
      <c r="A23" s="4"/>
      <c r="B23" s="3"/>
      <c r="C23" s="4"/>
      <c r="D23" s="4"/>
      <c r="E23" s="4"/>
      <c r="F23" s="4"/>
      <c r="G23" s="4"/>
      <c r="H23" s="4"/>
    </row>
    <row r="24" spans="1:24" ht="18.75" x14ac:dyDescent="0.3">
      <c r="A24" s="4" t="s">
        <v>47</v>
      </c>
      <c r="B24" s="14">
        <f>H22*B19</f>
        <v>1014483.5059996512</v>
      </c>
      <c r="C24" s="4"/>
      <c r="D24" s="4"/>
      <c r="E24" s="4"/>
      <c r="F24" s="4"/>
      <c r="G24" s="4"/>
      <c r="H24" s="4"/>
    </row>
    <row r="25" spans="1:24" ht="18.75" x14ac:dyDescent="0.3">
      <c r="A25" s="4"/>
      <c r="B25" s="3"/>
      <c r="C25" s="4"/>
      <c r="D25" s="4"/>
      <c r="E25" s="4"/>
      <c r="F25" s="4"/>
      <c r="G25" s="4"/>
      <c r="H25" s="4"/>
    </row>
    <row r="26" spans="1:24" ht="23.25" x14ac:dyDescent="0.35">
      <c r="A26" s="4" t="s">
        <v>38</v>
      </c>
      <c r="B26" s="27">
        <f>B24/B15</f>
        <v>10.144835059996511</v>
      </c>
      <c r="C26" s="4"/>
      <c r="D26" s="4"/>
      <c r="E26" s="4"/>
      <c r="F26" s="4"/>
      <c r="G26" s="4"/>
      <c r="H26" s="4"/>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vt:lpstr>
      <vt:lpstr>Calc</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des.williamson</dc:creator>
  <cp:lastModifiedBy>des.williamson</cp:lastModifiedBy>
  <dcterms:created xsi:type="dcterms:W3CDTF">2016-04-26T22:57:34Z</dcterms:created>
  <dcterms:modified xsi:type="dcterms:W3CDTF">2016-04-27T19:25:45Z</dcterms:modified>
</cp:coreProperties>
</file>