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omments6.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186" yWindow="945" windowWidth="18555" windowHeight="11640" activeTab="2"/>
  </bookViews>
  <sheets>
    <sheet name="About" sheetId="1" r:id="rId1"/>
    <sheet name="Instructions" sheetId="2" r:id="rId2"/>
    <sheet name="Data" sheetId="3" r:id="rId3"/>
    <sheet name="Plot" sheetId="4" r:id="rId4"/>
    <sheet name="Br Plot" sheetId="5" r:id="rId5"/>
    <sheet name="Ground" sheetId="6" r:id="rId6"/>
    <sheet name="Detail" sheetId="7" r:id="rId7"/>
    <sheet name="Temp Calcs" sheetId="8" state="hidden" r:id="rId8"/>
    <sheet name="Volume" sheetId="9" state="hidden" r:id="rId9"/>
  </sheets>
  <definedNames/>
  <calcPr fullCalcOnLoad="1"/>
</workbook>
</file>

<file path=xl/comments3.xml><?xml version="1.0" encoding="utf-8"?>
<comments xmlns="http://schemas.openxmlformats.org/spreadsheetml/2006/main">
  <authors>
    <author>Des Williamson</author>
  </authors>
  <commentList>
    <comment ref="C2" authorId="0">
      <text>
        <r>
          <rPr>
            <b/>
            <sz val="8"/>
            <rFont val="Tahoma"/>
            <family val="0"/>
          </rPr>
          <t>Station (m) of VPI (vertical point of intersection)</t>
        </r>
      </text>
    </comment>
    <comment ref="D2" authorId="0">
      <text>
        <r>
          <rPr>
            <b/>
            <sz val="8"/>
            <rFont val="Tahoma"/>
            <family val="0"/>
          </rPr>
          <t>Elevation(m) of VPI (vertical point of intersection)</t>
        </r>
      </text>
    </comment>
    <comment ref="E2" authorId="0">
      <text>
        <r>
          <rPr>
            <b/>
            <sz val="8"/>
            <rFont val="Tahoma"/>
            <family val="0"/>
          </rPr>
          <t>Grade (slope in %) of tangent line between VPI's.  This value is calculated based on the VPI data.</t>
        </r>
      </text>
    </comment>
    <comment ref="F2" authorId="0">
      <text>
        <r>
          <rPr>
            <b/>
            <sz val="8"/>
            <rFont val="Tahoma"/>
            <family val="0"/>
          </rPr>
          <t>Proposed length (m) of vertical curve tying the tangents together.</t>
        </r>
      </text>
    </comment>
    <comment ref="G2" authorId="0">
      <text>
        <r>
          <rPr>
            <b/>
            <sz val="8"/>
            <rFont val="Tahoma"/>
            <family val="0"/>
          </rPr>
          <t>K value for curve (K = L/(G1-G2).  This is a calculated value.</t>
        </r>
      </text>
    </comment>
    <comment ref="H2" authorId="0">
      <text>
        <r>
          <rPr>
            <b/>
            <sz val="8"/>
            <rFont val="Tahoma"/>
            <family val="0"/>
          </rPr>
          <t>Is curve a "Crest" (grade decreases) or "Sag" (grade increases).</t>
        </r>
      </text>
    </comment>
    <comment ref="J2" authorId="0">
      <text>
        <r>
          <rPr>
            <b/>
            <sz val="8"/>
            <rFont val="Tahoma"/>
            <family val="0"/>
          </rPr>
          <t>Maximum length (m) available for curve, based on adjacent curves, before overlap.  This is a calculated value, and will change based on changes to adjacent curve lengths.</t>
        </r>
      </text>
    </comment>
    <comment ref="B12" authorId="0">
      <text>
        <r>
          <rPr>
            <b/>
            <sz val="8"/>
            <rFont val="Tahoma"/>
            <family val="0"/>
          </rPr>
          <t>Top of Fill Point of bridge opening for lower STA fill.  Only station is entered, as elevation and grade are calculated from the gradeline parameters.</t>
        </r>
      </text>
    </comment>
    <comment ref="B13" authorId="0">
      <text>
        <r>
          <rPr>
            <b/>
            <sz val="8"/>
            <rFont val="Tahoma"/>
            <family val="0"/>
          </rPr>
          <t>Top of Fill Point of bridge opening for higher STA fill.  Only station is entered, as elevation and grade are calculated from the gradeline parameters.</t>
        </r>
      </text>
    </comment>
    <comment ref="K2" authorId="0">
      <text>
        <r>
          <rPr>
            <b/>
            <sz val="8"/>
            <rFont val="Tahoma"/>
            <family val="0"/>
          </rPr>
          <t>Curve overlap warning - "****" denotes an overlap in vertical curves that requires adjustment of parameters, otherwise "OK".</t>
        </r>
      </text>
    </comment>
    <comment ref="B16" authorId="0">
      <text>
        <r>
          <rPr>
            <b/>
            <sz val="8"/>
            <rFont val="Tahoma"/>
            <family val="0"/>
          </rPr>
          <t>Enter lower station (m) limit for volume calculations</t>
        </r>
      </text>
    </comment>
    <comment ref="B17" authorId="0">
      <text>
        <r>
          <rPr>
            <b/>
            <sz val="8"/>
            <rFont val="Tahoma"/>
            <family val="0"/>
          </rPr>
          <t>Enter upper station (m) limit for volume calculations</t>
        </r>
      </text>
    </comment>
    <comment ref="B19" authorId="0">
      <text>
        <r>
          <rPr>
            <b/>
            <sz val="8"/>
            <rFont val="Tahoma"/>
            <family val="0"/>
          </rPr>
          <t>Volume of Fill (m3) required between specified stations.</t>
        </r>
      </text>
    </comment>
    <comment ref="B20" authorId="0">
      <text>
        <r>
          <rPr>
            <b/>
            <sz val="8"/>
            <rFont val="Tahoma"/>
            <family val="0"/>
          </rPr>
          <t>Volume of Cut (m3) required between specified stations.</t>
        </r>
      </text>
    </comment>
    <comment ref="E16" authorId="0">
      <text>
        <r>
          <rPr>
            <b/>
            <sz val="8"/>
            <rFont val="Tahoma"/>
            <family val="0"/>
          </rPr>
          <t>Clear Roadway Width (m)</t>
        </r>
      </text>
    </comment>
    <comment ref="E17" authorId="0">
      <text>
        <r>
          <rPr>
            <b/>
            <sz val="8"/>
            <rFont val="Tahoma"/>
            <family val="0"/>
          </rPr>
          <t>Slope of road fill (H:V)</t>
        </r>
      </text>
    </comment>
    <comment ref="E18" authorId="0">
      <text>
        <r>
          <rPr>
            <b/>
            <sz val="8"/>
            <rFont val="Tahoma"/>
            <family val="0"/>
          </rPr>
          <t>Slope of road cuts (H:V)</t>
        </r>
      </text>
    </comment>
    <comment ref="C11" authorId="0">
      <text>
        <r>
          <rPr>
            <b/>
            <sz val="8"/>
            <rFont val="Tahoma"/>
            <family val="0"/>
          </rPr>
          <t>Station of toe of bridge fill - located based on desired location relative to channel</t>
        </r>
      </text>
    </comment>
    <comment ref="D11" authorId="0">
      <text>
        <r>
          <rPr>
            <b/>
            <sz val="8"/>
            <rFont val="Tahoma"/>
            <family val="0"/>
          </rPr>
          <t>Headslope ratio (H:V) for bridge fill</t>
        </r>
      </text>
    </comment>
    <comment ref="B14" authorId="0">
      <text>
        <r>
          <rPr>
            <b/>
            <sz val="8"/>
            <rFont val="Tahoma"/>
            <family val="0"/>
          </rPr>
          <t xml:space="preserve">Elevation of theoretical streambed at crossing (toe of fills will start at this elevation). </t>
        </r>
      </text>
    </comment>
  </commentList>
</comments>
</file>

<file path=xl/comments6.xml><?xml version="1.0" encoding="utf-8"?>
<comments xmlns="http://schemas.openxmlformats.org/spreadsheetml/2006/main">
  <authors>
    <author>Des Williamson</author>
  </authors>
  <commentList>
    <comment ref="A1" authorId="0">
      <text>
        <r>
          <rPr>
            <b/>
            <sz val="8"/>
            <rFont val="Tahoma"/>
            <family val="0"/>
          </rPr>
          <t>Station and Elevation data for natural ground along proposed alignment.  Can be generated from DEM data or site survey.</t>
        </r>
      </text>
    </comment>
  </commentList>
</comments>
</file>

<file path=xl/sharedStrings.xml><?xml version="1.0" encoding="utf-8"?>
<sst xmlns="http://schemas.openxmlformats.org/spreadsheetml/2006/main" count="124" uniqueCount="95">
  <si>
    <t>ID</t>
  </si>
  <si>
    <t>STA</t>
  </si>
  <si>
    <t>EL</t>
  </si>
  <si>
    <t>G</t>
  </si>
  <si>
    <t>L</t>
  </si>
  <si>
    <t>K</t>
  </si>
  <si>
    <t>Lmx</t>
  </si>
  <si>
    <t>VPI1</t>
  </si>
  <si>
    <t>VPI2</t>
  </si>
  <si>
    <t>VPI3</t>
  </si>
  <si>
    <t>VPI4</t>
  </si>
  <si>
    <t>VPI5</t>
  </si>
  <si>
    <t>VPI6</t>
  </si>
  <si>
    <t>VPI7</t>
  </si>
  <si>
    <t>Pt</t>
  </si>
  <si>
    <t>Sta</t>
  </si>
  <si>
    <t>Grade</t>
  </si>
  <si>
    <t>BVC 1</t>
  </si>
  <si>
    <t>EVC</t>
  </si>
  <si>
    <t>BVC 2</t>
  </si>
  <si>
    <t>BVC 3</t>
  </si>
  <si>
    <t>BVC 4</t>
  </si>
  <si>
    <t>BVC5</t>
  </si>
  <si>
    <t>Elev</t>
  </si>
  <si>
    <t>BGrade v 1.0</t>
  </si>
  <si>
    <t>This tool facilitates assessment of gradeline options for highways over streams</t>
  </si>
  <si>
    <t>Terrain Data</t>
  </si>
  <si>
    <t>Bridge 1</t>
  </si>
  <si>
    <t>Bridge 2</t>
  </si>
  <si>
    <t>Match</t>
  </si>
  <si>
    <t>Enter Station - Elevation data into the "Ground" sheet.  This may be from mapping/DTM data (at early stages) or survey (later stages).</t>
  </si>
  <si>
    <t>Gradeline point details (STA, EL, grade) are presented on the "Detail" sheet for use in other bridge planning tools.</t>
  </si>
  <si>
    <t>Type</t>
  </si>
  <si>
    <t>STA (start)</t>
  </si>
  <si>
    <t>STA (end)</t>
  </si>
  <si>
    <t>Ground</t>
  </si>
  <si>
    <t>dh</t>
  </si>
  <si>
    <t>A</t>
  </si>
  <si>
    <t>Vol</t>
  </si>
  <si>
    <t>Cut</t>
  </si>
  <si>
    <t>Fill</t>
  </si>
  <si>
    <t>Sum Cut</t>
  </si>
  <si>
    <t>Sum Fill</t>
  </si>
  <si>
    <t>Fill Slope</t>
  </si>
  <si>
    <t>Cut Slope</t>
  </si>
  <si>
    <t>Road Width</t>
  </si>
  <si>
    <t>Volume</t>
  </si>
  <si>
    <t>STA 1</t>
  </si>
  <si>
    <t>STA 2</t>
  </si>
  <si>
    <t>Gradeline</t>
  </si>
  <si>
    <t>Bridge</t>
  </si>
  <si>
    <t>Fill Volume</t>
  </si>
  <si>
    <t>Cut Volume</t>
  </si>
  <si>
    <t>Modify VPI points - Edit STA, EL values for the VPI's either graphically on the "Plot" sheet, or numerically on the "Data" sheet.  7 VPI points are provided, allowing for 5 consecutive vertical curves (enter dummy values for VPI's not required, so as not to affect the plotting scale).  Graphical moving VPI's on the "Plot" sheet to approximate natural ground and visually balance cuts and fills is often a good starting point.</t>
  </si>
  <si>
    <t>Adjust gradeline parameters - on the "Data" sheet, check for : 
- curve lengths that overlap
- curve lengths that are too short (Min. 1X design speed, Min. Des. 2X design speed)
- K values below the desired standard
- grades on valley walls that exceed the maximum desired
- grades across the bridge that are too flat or too steep
- bridge elevations that don't meet hydraulic requirements.
Modify curve lengths and VPI points as necessary.  VPI points can be further refined graphically on the "Plot" sheet.  Several iterations may be required.</t>
  </si>
  <si>
    <t>Point</t>
  </si>
  <si>
    <t>Top STA</t>
  </si>
  <si>
    <t>Fill 1</t>
  </si>
  <si>
    <t>Fill 2</t>
  </si>
  <si>
    <t>Bot Fill Pt</t>
  </si>
  <si>
    <t>GL Pt Bef</t>
  </si>
  <si>
    <t>GL Pt Aft</t>
  </si>
  <si>
    <t>Top Fill Pt</t>
  </si>
  <si>
    <t>Pt 1</t>
  </si>
  <si>
    <t>Top Fill 1</t>
  </si>
  <si>
    <t>Vol Pt 1</t>
  </si>
  <si>
    <t>Bot Fill 1</t>
  </si>
  <si>
    <t>Bot Fill 2</t>
  </si>
  <si>
    <t>Top Fill 2</t>
  </si>
  <si>
    <t>Vol Pt 2</t>
  </si>
  <si>
    <t>Sta bef</t>
  </si>
  <si>
    <t>Sta aft</t>
  </si>
  <si>
    <t>Cut bef</t>
  </si>
  <si>
    <t>Cut aft</t>
  </si>
  <si>
    <t>Fill bef</t>
  </si>
  <si>
    <t>Fill aft</t>
  </si>
  <si>
    <t>1 to F1</t>
  </si>
  <si>
    <t>F1</t>
  </si>
  <si>
    <t>F2</t>
  </si>
  <si>
    <t>F2 to 2</t>
  </si>
  <si>
    <t>No Bridge</t>
  </si>
  <si>
    <t>Return</t>
  </si>
  <si>
    <t>Approximate cut/fill volume calculations can also be presented between station limits entered on the "Data" sheet.  Road width, and cut/fill slopes can be adjusted.  Bridge opening is removed from calculations, if spanned by specified stations.  Volume calculations are based on :
- a minimum road to ditch drop of 1m
- a road structure depth of 0.6m (base + paving)
- subgrade width = clear roadway + 6m
- ditch bottom width = 4m</t>
  </si>
  <si>
    <t>On the "Data" sheet, enter approximate stations of the toe of bridge fills and the bridge headslope.  The elevation and grade at the top of fill points will be calculated and an outline of the fills shown on the plot.</t>
  </si>
  <si>
    <t>Warning</t>
  </si>
  <si>
    <t>Toe STA</t>
  </si>
  <si>
    <t>HS Ratio</t>
  </si>
  <si>
    <t>Modifications :</t>
  </si>
  <si>
    <t>Apr 29, 2008 - Apply bottom up approach to bridge headslope calculations</t>
  </si>
  <si>
    <t>Apr 29, 2008 - Modify volume calculations to account for spanning bridge opening</t>
  </si>
  <si>
    <t>May 1, 2008 - Fix bridge fill ground elevation error</t>
  </si>
  <si>
    <t>Theo Bed Elev.</t>
  </si>
  <si>
    <t>Build : May 4, 2009</t>
  </si>
  <si>
    <t>AT Bridge Gradeline Planning Tool</t>
  </si>
  <si>
    <t>May 4, 2009 - Set toe of fills at theoretical streambed elevation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</si>
</sst>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0"/>
    <numFmt numFmtId="176" formatCode="0.000000"/>
    <numFmt numFmtId="177" formatCode="mmmm\ d\,\ yyyy"/>
    <numFmt numFmtId="178" formatCode="mmm\ dd\,\ yyyy"/>
    <numFmt numFmtId="179" formatCode="m/d"/>
    <numFmt numFmtId="180" formatCode="0.E+00"/>
    <numFmt numFmtId="181" formatCode="&quot;Yes&quot;;&quot;Yes&quot;;&quot;No&quot;"/>
    <numFmt numFmtId="182" formatCode="&quot;True&quot;;&quot;True&quot;;&quot;False&quot;"/>
    <numFmt numFmtId="183" formatCode="&quot;On&quot;;&quot;On&quot;;&quot;Off&quot;"/>
    <numFmt numFmtId="184" formatCode="[$€-2]\ #,##0.00_);[Red]\([$€-2]\ #,##0.00\)"/>
  </numFmts>
  <fonts count="18">
    <font>
      <sz val="10"/>
      <name val="Arial"/>
      <family val="0"/>
    </font>
    <font>
      <sz val="8"/>
      <name val="Arial"/>
      <family val="0"/>
    </font>
    <font>
      <b/>
      <sz val="10"/>
      <name val="Arial"/>
      <family val="2"/>
    </font>
    <font>
      <b/>
      <sz val="10"/>
      <color indexed="10"/>
      <name val="Arial"/>
      <family val="2"/>
    </font>
    <font>
      <b/>
      <sz val="10"/>
      <color indexed="12"/>
      <name val="Arial"/>
      <family val="2"/>
    </font>
    <font>
      <b/>
      <sz val="14"/>
      <name val="Arial"/>
      <family val="2"/>
    </font>
    <font>
      <sz val="12"/>
      <name val="Arial"/>
      <family val="2"/>
    </font>
    <font>
      <u val="single"/>
      <sz val="10"/>
      <color indexed="36"/>
      <name val="Arial"/>
      <family val="0"/>
    </font>
    <font>
      <u val="single"/>
      <sz val="10"/>
      <color indexed="12"/>
      <name val="Arial"/>
      <family val="0"/>
    </font>
    <font>
      <b/>
      <sz val="20"/>
      <color indexed="48"/>
      <name val="Arial"/>
      <family val="2"/>
    </font>
    <font>
      <sz val="14"/>
      <color indexed="10"/>
      <name val="Arial"/>
      <family val="2"/>
    </font>
    <font>
      <b/>
      <sz val="8"/>
      <name val="Tahoma"/>
      <family val="0"/>
    </font>
    <font>
      <b/>
      <sz val="12"/>
      <name val="Arial"/>
      <family val="2"/>
    </font>
    <font>
      <b/>
      <sz val="12"/>
      <color indexed="10"/>
      <name val="Arial"/>
      <family val="2"/>
    </font>
    <font>
      <b/>
      <sz val="12"/>
      <color indexed="12"/>
      <name val="Arial"/>
      <family val="2"/>
    </font>
    <font>
      <b/>
      <sz val="12"/>
      <color indexed="57"/>
      <name val="Arial"/>
      <family val="2"/>
    </font>
    <font>
      <b/>
      <sz val="12"/>
      <color indexed="8"/>
      <name val="Arial"/>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2" fillId="0" borderId="0" xfId="0" applyFont="1" applyAlignment="1">
      <alignment/>
    </xf>
    <xf numFmtId="0" fontId="3" fillId="0" borderId="0" xfId="0" applyFont="1" applyAlignment="1">
      <alignment/>
    </xf>
    <xf numFmtId="173" fontId="4" fillId="0" borderId="0" xfId="0" applyNumberFormat="1" applyFont="1" applyAlignment="1">
      <alignment/>
    </xf>
    <xf numFmtId="174" fontId="4" fillId="0" borderId="0" xfId="0" applyNumberFormat="1" applyFont="1" applyAlignment="1">
      <alignment/>
    </xf>
    <xf numFmtId="2" fontId="2" fillId="0" borderId="0" xfId="0" applyNumberFormat="1" applyFont="1" applyAlignment="1">
      <alignment/>
    </xf>
    <xf numFmtId="173" fontId="2" fillId="0" borderId="0" xfId="0" applyNumberFormat="1" applyFont="1" applyAlignment="1">
      <alignment/>
    </xf>
    <xf numFmtId="2" fontId="0" fillId="0" borderId="0" xfId="0" applyNumberFormat="1" applyAlignment="1">
      <alignment/>
    </xf>
    <xf numFmtId="173" fontId="0" fillId="0" borderId="0" xfId="0" applyNumberFormat="1" applyAlignment="1">
      <alignment/>
    </xf>
    <xf numFmtId="0" fontId="9" fillId="0" borderId="0" xfId="0" applyFont="1" applyAlignment="1">
      <alignment/>
    </xf>
    <xf numFmtId="177" fontId="10" fillId="0" borderId="0" xfId="0" applyNumberFormat="1" applyFont="1" applyAlignment="1">
      <alignment horizontal="left"/>
    </xf>
    <xf numFmtId="0" fontId="2" fillId="0" borderId="0" xfId="0" applyFont="1" applyAlignment="1">
      <alignment vertical="top" wrapText="1"/>
    </xf>
    <xf numFmtId="0" fontId="0" fillId="0" borderId="0" xfId="0" applyAlignment="1">
      <alignment vertical="top"/>
    </xf>
    <xf numFmtId="0" fontId="0" fillId="0" borderId="0" xfId="0" applyAlignment="1">
      <alignment horizontal="left" indent="3"/>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xf>
    <xf numFmtId="173" fontId="3" fillId="0" borderId="0" xfId="0" applyNumberFormat="1" applyFont="1" applyAlignment="1">
      <alignment/>
    </xf>
    <xf numFmtId="0" fontId="12" fillId="0" borderId="0" xfId="0" applyFont="1" applyAlignment="1">
      <alignment/>
    </xf>
    <xf numFmtId="0" fontId="6" fillId="0" borderId="0" xfId="0" applyFont="1" applyAlignment="1">
      <alignment/>
    </xf>
    <xf numFmtId="0" fontId="13" fillId="0" borderId="0" xfId="0" applyFont="1" applyAlignment="1">
      <alignment/>
    </xf>
    <xf numFmtId="173" fontId="13" fillId="0" borderId="0" xfId="0" applyNumberFormat="1" applyFont="1" applyAlignment="1">
      <alignment/>
    </xf>
    <xf numFmtId="173" fontId="14" fillId="0" borderId="0" xfId="0" applyNumberFormat="1" applyFont="1" applyAlignment="1">
      <alignment/>
    </xf>
    <xf numFmtId="174" fontId="14" fillId="0" borderId="0" xfId="0" applyNumberFormat="1" applyFont="1" applyAlignment="1">
      <alignment/>
    </xf>
    <xf numFmtId="0" fontId="15" fillId="0" borderId="0" xfId="0" applyFont="1" applyAlignment="1">
      <alignment/>
    </xf>
    <xf numFmtId="173" fontId="0" fillId="0" borderId="0" xfId="0" applyNumberFormat="1" applyFont="1" applyAlignment="1">
      <alignment/>
    </xf>
    <xf numFmtId="1" fontId="2" fillId="0" borderId="0" xfId="0" applyNumberFormat="1" applyFont="1" applyAlignment="1">
      <alignment/>
    </xf>
    <xf numFmtId="1" fontId="0" fillId="0" borderId="0" xfId="0" applyNumberFormat="1" applyAlignment="1">
      <alignment/>
    </xf>
    <xf numFmtId="174" fontId="2" fillId="0" borderId="0" xfId="0" applyNumberFormat="1" applyFont="1" applyAlignment="1">
      <alignment/>
    </xf>
    <xf numFmtId="174" fontId="0" fillId="0" borderId="0" xfId="0" applyNumberFormat="1" applyAlignment="1">
      <alignment/>
    </xf>
    <xf numFmtId="2" fontId="0" fillId="0" borderId="0" xfId="0" applyNumberFormat="1" applyFont="1" applyAlignment="1">
      <alignment/>
    </xf>
    <xf numFmtId="1" fontId="14" fillId="0" borderId="0" xfId="0" applyNumberFormat="1" applyFont="1" applyAlignment="1">
      <alignment/>
    </xf>
    <xf numFmtId="1" fontId="12" fillId="0" borderId="0" xfId="0" applyNumberFormat="1" applyFont="1" applyAlignment="1">
      <alignment/>
    </xf>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horizontal="center" vertical="top"/>
    </xf>
    <xf numFmtId="0" fontId="16" fillId="0" borderId="0" xfId="0" applyFont="1" applyAlignment="1">
      <alignment/>
    </xf>
    <xf numFmtId="0" fontId="12" fillId="0" borderId="0" xfId="0" applyNumberFormat="1" applyFont="1" applyAlignment="1">
      <alignment horizont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01475"/>
          <c:w val="0.9285"/>
          <c:h val="0.91575"/>
        </c:manualLayout>
      </c:layout>
      <c:scatterChart>
        <c:scatterStyle val="lineMarker"/>
        <c:varyColors val="0"/>
        <c:ser>
          <c:idx val="4"/>
          <c:order val="0"/>
          <c:tx>
            <c:v>VPI</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plus"/>
            <c:size val="10"/>
            <c:spPr>
              <a:noFill/>
              <a:ln>
                <a:solidFill>
                  <a:srgbClr val="000000"/>
                </a:solidFill>
              </a:ln>
            </c:spPr>
          </c:marker>
          <c:xVal>
            <c:numRef>
              <c:f>Data!$C$3:$C$9</c:f>
              <c:numCache>
                <c:ptCount val="7"/>
                <c:pt idx="0">
                  <c:v>4512</c:v>
                </c:pt>
                <c:pt idx="1">
                  <c:v>5840</c:v>
                </c:pt>
                <c:pt idx="2">
                  <c:v>6219.8</c:v>
                </c:pt>
                <c:pt idx="3">
                  <c:v>6742</c:v>
                </c:pt>
                <c:pt idx="4">
                  <c:v>7413</c:v>
                </c:pt>
                <c:pt idx="5">
                  <c:v>7970</c:v>
                </c:pt>
                <c:pt idx="6">
                  <c:v>8286</c:v>
                </c:pt>
              </c:numCache>
            </c:numRef>
          </c:xVal>
          <c:yVal>
            <c:numRef>
              <c:f>Data!$D$3:$D$9</c:f>
              <c:numCache>
                <c:ptCount val="7"/>
                <c:pt idx="0">
                  <c:v>652.03</c:v>
                </c:pt>
                <c:pt idx="1">
                  <c:v>620.28</c:v>
                </c:pt>
                <c:pt idx="2">
                  <c:v>600.53</c:v>
                </c:pt>
                <c:pt idx="3">
                  <c:v>620.65</c:v>
                </c:pt>
                <c:pt idx="4">
                  <c:v>624.32</c:v>
                </c:pt>
                <c:pt idx="5">
                  <c:v>613.35</c:v>
                </c:pt>
                <c:pt idx="6">
                  <c:v>613.17</c:v>
                </c:pt>
              </c:numCache>
            </c:numRef>
          </c:yVal>
          <c:smooth val="0"/>
        </c:ser>
        <c:ser>
          <c:idx val="2"/>
          <c:order val="1"/>
          <c:tx>
            <c:v>Ground</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Ground!$A$3:$A$5000</c:f>
              <c:numCache>
                <c:ptCount val="4998"/>
                <c:pt idx="0">
                  <c:v>4000</c:v>
                </c:pt>
                <c:pt idx="1">
                  <c:v>4030</c:v>
                </c:pt>
                <c:pt idx="2">
                  <c:v>4060</c:v>
                </c:pt>
                <c:pt idx="3">
                  <c:v>4090</c:v>
                </c:pt>
                <c:pt idx="4">
                  <c:v>4120</c:v>
                </c:pt>
                <c:pt idx="5">
                  <c:v>4150</c:v>
                </c:pt>
                <c:pt idx="6">
                  <c:v>4180</c:v>
                </c:pt>
                <c:pt idx="7">
                  <c:v>4210</c:v>
                </c:pt>
                <c:pt idx="8">
                  <c:v>4240</c:v>
                </c:pt>
                <c:pt idx="9">
                  <c:v>4270</c:v>
                </c:pt>
                <c:pt idx="10">
                  <c:v>4300</c:v>
                </c:pt>
                <c:pt idx="11">
                  <c:v>4330</c:v>
                </c:pt>
                <c:pt idx="12">
                  <c:v>4360</c:v>
                </c:pt>
                <c:pt idx="13">
                  <c:v>4390</c:v>
                </c:pt>
                <c:pt idx="14">
                  <c:v>4420</c:v>
                </c:pt>
                <c:pt idx="15">
                  <c:v>4450</c:v>
                </c:pt>
                <c:pt idx="16">
                  <c:v>4480</c:v>
                </c:pt>
                <c:pt idx="17">
                  <c:v>4510</c:v>
                </c:pt>
                <c:pt idx="18">
                  <c:v>4540</c:v>
                </c:pt>
                <c:pt idx="19">
                  <c:v>4570</c:v>
                </c:pt>
                <c:pt idx="20">
                  <c:v>4600</c:v>
                </c:pt>
                <c:pt idx="21">
                  <c:v>4630</c:v>
                </c:pt>
                <c:pt idx="22">
                  <c:v>4660</c:v>
                </c:pt>
                <c:pt idx="23">
                  <c:v>4690</c:v>
                </c:pt>
                <c:pt idx="24">
                  <c:v>4720</c:v>
                </c:pt>
                <c:pt idx="25">
                  <c:v>4750</c:v>
                </c:pt>
                <c:pt idx="26">
                  <c:v>4780</c:v>
                </c:pt>
                <c:pt idx="27">
                  <c:v>4810</c:v>
                </c:pt>
                <c:pt idx="28">
                  <c:v>4840</c:v>
                </c:pt>
                <c:pt idx="29">
                  <c:v>4870</c:v>
                </c:pt>
                <c:pt idx="30">
                  <c:v>4900</c:v>
                </c:pt>
                <c:pt idx="31">
                  <c:v>4930</c:v>
                </c:pt>
                <c:pt idx="32">
                  <c:v>4960</c:v>
                </c:pt>
                <c:pt idx="33">
                  <c:v>4990</c:v>
                </c:pt>
                <c:pt idx="34">
                  <c:v>5020</c:v>
                </c:pt>
                <c:pt idx="35">
                  <c:v>5050</c:v>
                </c:pt>
                <c:pt idx="36">
                  <c:v>5080</c:v>
                </c:pt>
                <c:pt idx="37">
                  <c:v>5110</c:v>
                </c:pt>
                <c:pt idx="38">
                  <c:v>5140</c:v>
                </c:pt>
                <c:pt idx="39">
                  <c:v>5170</c:v>
                </c:pt>
                <c:pt idx="40">
                  <c:v>5200</c:v>
                </c:pt>
                <c:pt idx="41">
                  <c:v>5230</c:v>
                </c:pt>
                <c:pt idx="42">
                  <c:v>5260</c:v>
                </c:pt>
                <c:pt idx="43">
                  <c:v>5290</c:v>
                </c:pt>
                <c:pt idx="44">
                  <c:v>5320</c:v>
                </c:pt>
                <c:pt idx="45">
                  <c:v>5350</c:v>
                </c:pt>
                <c:pt idx="46">
                  <c:v>5380</c:v>
                </c:pt>
                <c:pt idx="47">
                  <c:v>5410</c:v>
                </c:pt>
                <c:pt idx="48">
                  <c:v>5440</c:v>
                </c:pt>
                <c:pt idx="49">
                  <c:v>5470</c:v>
                </c:pt>
                <c:pt idx="50">
                  <c:v>5500</c:v>
                </c:pt>
                <c:pt idx="51">
                  <c:v>5530</c:v>
                </c:pt>
                <c:pt idx="52">
                  <c:v>5560</c:v>
                </c:pt>
                <c:pt idx="53">
                  <c:v>5590</c:v>
                </c:pt>
                <c:pt idx="54">
                  <c:v>5620</c:v>
                </c:pt>
                <c:pt idx="55">
                  <c:v>5650</c:v>
                </c:pt>
                <c:pt idx="56">
                  <c:v>5680</c:v>
                </c:pt>
                <c:pt idx="57">
                  <c:v>5710</c:v>
                </c:pt>
                <c:pt idx="58">
                  <c:v>5740</c:v>
                </c:pt>
                <c:pt idx="59">
                  <c:v>5770</c:v>
                </c:pt>
                <c:pt idx="60">
                  <c:v>5800</c:v>
                </c:pt>
                <c:pt idx="61">
                  <c:v>5830</c:v>
                </c:pt>
                <c:pt idx="62">
                  <c:v>5860</c:v>
                </c:pt>
                <c:pt idx="63">
                  <c:v>5890</c:v>
                </c:pt>
                <c:pt idx="64">
                  <c:v>5920</c:v>
                </c:pt>
                <c:pt idx="65">
                  <c:v>5950</c:v>
                </c:pt>
                <c:pt idx="66">
                  <c:v>5980</c:v>
                </c:pt>
                <c:pt idx="67">
                  <c:v>6010</c:v>
                </c:pt>
                <c:pt idx="68">
                  <c:v>6040</c:v>
                </c:pt>
                <c:pt idx="69">
                  <c:v>6070</c:v>
                </c:pt>
                <c:pt idx="70">
                  <c:v>6100</c:v>
                </c:pt>
                <c:pt idx="71">
                  <c:v>6130</c:v>
                </c:pt>
                <c:pt idx="72">
                  <c:v>6160</c:v>
                </c:pt>
                <c:pt idx="73">
                  <c:v>6190</c:v>
                </c:pt>
                <c:pt idx="74">
                  <c:v>6220</c:v>
                </c:pt>
                <c:pt idx="75">
                  <c:v>6250</c:v>
                </c:pt>
                <c:pt idx="76">
                  <c:v>6280</c:v>
                </c:pt>
                <c:pt idx="77">
                  <c:v>6310</c:v>
                </c:pt>
                <c:pt idx="78">
                  <c:v>6340</c:v>
                </c:pt>
                <c:pt idx="79">
                  <c:v>6370</c:v>
                </c:pt>
                <c:pt idx="80">
                  <c:v>6400</c:v>
                </c:pt>
                <c:pt idx="81">
                  <c:v>6430</c:v>
                </c:pt>
                <c:pt idx="82">
                  <c:v>6460</c:v>
                </c:pt>
                <c:pt idx="83">
                  <c:v>6490</c:v>
                </c:pt>
                <c:pt idx="84">
                  <c:v>6520</c:v>
                </c:pt>
                <c:pt idx="85">
                  <c:v>6550</c:v>
                </c:pt>
                <c:pt idx="86">
                  <c:v>6580</c:v>
                </c:pt>
                <c:pt idx="87">
                  <c:v>6610</c:v>
                </c:pt>
                <c:pt idx="88">
                  <c:v>6640</c:v>
                </c:pt>
                <c:pt idx="89">
                  <c:v>6670</c:v>
                </c:pt>
                <c:pt idx="90">
                  <c:v>6700</c:v>
                </c:pt>
                <c:pt idx="91">
                  <c:v>6730</c:v>
                </c:pt>
                <c:pt idx="92">
                  <c:v>6760</c:v>
                </c:pt>
                <c:pt idx="93">
                  <c:v>6790</c:v>
                </c:pt>
                <c:pt idx="94">
                  <c:v>6820</c:v>
                </c:pt>
                <c:pt idx="95">
                  <c:v>6850</c:v>
                </c:pt>
                <c:pt idx="96">
                  <c:v>6880</c:v>
                </c:pt>
                <c:pt idx="97">
                  <c:v>6910</c:v>
                </c:pt>
                <c:pt idx="98">
                  <c:v>6940</c:v>
                </c:pt>
                <c:pt idx="99">
                  <c:v>6970</c:v>
                </c:pt>
                <c:pt idx="100">
                  <c:v>7000</c:v>
                </c:pt>
                <c:pt idx="101">
                  <c:v>7030</c:v>
                </c:pt>
                <c:pt idx="102">
                  <c:v>7060</c:v>
                </c:pt>
                <c:pt idx="103">
                  <c:v>7090</c:v>
                </c:pt>
                <c:pt idx="104">
                  <c:v>7120</c:v>
                </c:pt>
                <c:pt idx="105">
                  <c:v>7150</c:v>
                </c:pt>
                <c:pt idx="106">
                  <c:v>7180</c:v>
                </c:pt>
                <c:pt idx="107">
                  <c:v>7210</c:v>
                </c:pt>
                <c:pt idx="108">
                  <c:v>7240</c:v>
                </c:pt>
                <c:pt idx="109">
                  <c:v>7270</c:v>
                </c:pt>
                <c:pt idx="110">
                  <c:v>7300</c:v>
                </c:pt>
                <c:pt idx="111">
                  <c:v>7330</c:v>
                </c:pt>
                <c:pt idx="112">
                  <c:v>7360</c:v>
                </c:pt>
                <c:pt idx="113">
                  <c:v>7390</c:v>
                </c:pt>
                <c:pt idx="114">
                  <c:v>7420</c:v>
                </c:pt>
                <c:pt idx="115">
                  <c:v>7450</c:v>
                </c:pt>
                <c:pt idx="116">
                  <c:v>7480</c:v>
                </c:pt>
                <c:pt idx="117">
                  <c:v>7510</c:v>
                </c:pt>
                <c:pt idx="118">
                  <c:v>7540</c:v>
                </c:pt>
                <c:pt idx="119">
                  <c:v>7570</c:v>
                </c:pt>
                <c:pt idx="120">
                  <c:v>7600</c:v>
                </c:pt>
                <c:pt idx="121">
                  <c:v>7630</c:v>
                </c:pt>
                <c:pt idx="122">
                  <c:v>7660</c:v>
                </c:pt>
                <c:pt idx="123">
                  <c:v>7690</c:v>
                </c:pt>
                <c:pt idx="124">
                  <c:v>7720</c:v>
                </c:pt>
                <c:pt idx="125">
                  <c:v>7750</c:v>
                </c:pt>
                <c:pt idx="126">
                  <c:v>7780</c:v>
                </c:pt>
                <c:pt idx="127">
                  <c:v>7810</c:v>
                </c:pt>
                <c:pt idx="128">
                  <c:v>7840</c:v>
                </c:pt>
                <c:pt idx="129">
                  <c:v>7870</c:v>
                </c:pt>
                <c:pt idx="130">
                  <c:v>7900</c:v>
                </c:pt>
                <c:pt idx="131">
                  <c:v>7930</c:v>
                </c:pt>
                <c:pt idx="132">
                  <c:v>7960</c:v>
                </c:pt>
                <c:pt idx="133">
                  <c:v>7990</c:v>
                </c:pt>
                <c:pt idx="134">
                  <c:v>8020</c:v>
                </c:pt>
                <c:pt idx="135">
                  <c:v>8048</c:v>
                </c:pt>
              </c:numCache>
            </c:numRef>
          </c:xVal>
          <c:yVal>
            <c:numRef>
              <c:f>Ground!$B$3:$B$5000</c:f>
              <c:numCache>
                <c:ptCount val="4998"/>
                <c:pt idx="0">
                  <c:v>649.164</c:v>
                </c:pt>
                <c:pt idx="1">
                  <c:v>648.956249</c:v>
                </c:pt>
                <c:pt idx="2">
                  <c:v>648.72404</c:v>
                </c:pt>
                <c:pt idx="3">
                  <c:v>648.425724</c:v>
                </c:pt>
                <c:pt idx="4">
                  <c:v>648.097765</c:v>
                </c:pt>
                <c:pt idx="5">
                  <c:v>647.714894</c:v>
                </c:pt>
                <c:pt idx="6">
                  <c:v>647.258474</c:v>
                </c:pt>
                <c:pt idx="7">
                  <c:v>646.781414</c:v>
                </c:pt>
                <c:pt idx="8">
                  <c:v>646.295517</c:v>
                </c:pt>
                <c:pt idx="9">
                  <c:v>645.856957</c:v>
                </c:pt>
                <c:pt idx="10">
                  <c:v>645.492023</c:v>
                </c:pt>
                <c:pt idx="11">
                  <c:v>645.12139</c:v>
                </c:pt>
                <c:pt idx="12">
                  <c:v>644.756761</c:v>
                </c:pt>
                <c:pt idx="13">
                  <c:v>644.446072</c:v>
                </c:pt>
                <c:pt idx="14">
                  <c:v>644.177317</c:v>
                </c:pt>
                <c:pt idx="15">
                  <c:v>643.959971</c:v>
                </c:pt>
                <c:pt idx="16">
                  <c:v>643.754337</c:v>
                </c:pt>
                <c:pt idx="17">
                  <c:v>643.543137</c:v>
                </c:pt>
                <c:pt idx="18">
                  <c:v>643.431214</c:v>
                </c:pt>
                <c:pt idx="19">
                  <c:v>643.25558</c:v>
                </c:pt>
                <c:pt idx="20">
                  <c:v>643.063261</c:v>
                </c:pt>
                <c:pt idx="21">
                  <c:v>642.851972</c:v>
                </c:pt>
                <c:pt idx="22">
                  <c:v>642.53548</c:v>
                </c:pt>
                <c:pt idx="23">
                  <c:v>642.303046</c:v>
                </c:pt>
                <c:pt idx="24">
                  <c:v>642.029381</c:v>
                </c:pt>
                <c:pt idx="25">
                  <c:v>641.759833</c:v>
                </c:pt>
                <c:pt idx="26">
                  <c:v>641.462076</c:v>
                </c:pt>
                <c:pt idx="27">
                  <c:v>641.119776</c:v>
                </c:pt>
                <c:pt idx="28">
                  <c:v>640.85115</c:v>
                </c:pt>
                <c:pt idx="29">
                  <c:v>640.603851</c:v>
                </c:pt>
                <c:pt idx="30">
                  <c:v>640.264022</c:v>
                </c:pt>
                <c:pt idx="31">
                  <c:v>639.938563</c:v>
                </c:pt>
                <c:pt idx="32">
                  <c:v>639.587609</c:v>
                </c:pt>
                <c:pt idx="33">
                  <c:v>639.199157</c:v>
                </c:pt>
                <c:pt idx="34">
                  <c:v>638.851436</c:v>
                </c:pt>
                <c:pt idx="35">
                  <c:v>638.507122</c:v>
                </c:pt>
                <c:pt idx="36">
                  <c:v>638.163497</c:v>
                </c:pt>
                <c:pt idx="37">
                  <c:v>637.824532</c:v>
                </c:pt>
                <c:pt idx="38">
                  <c:v>637.488925</c:v>
                </c:pt>
                <c:pt idx="39">
                  <c:v>637.166257</c:v>
                </c:pt>
                <c:pt idx="40">
                  <c:v>636.880397</c:v>
                </c:pt>
                <c:pt idx="41">
                  <c:v>636.53673</c:v>
                </c:pt>
                <c:pt idx="42">
                  <c:v>636.02149</c:v>
                </c:pt>
                <c:pt idx="43">
                  <c:v>635.437969</c:v>
                </c:pt>
                <c:pt idx="44">
                  <c:v>634.773479</c:v>
                </c:pt>
                <c:pt idx="45">
                  <c:v>634.017922</c:v>
                </c:pt>
                <c:pt idx="46">
                  <c:v>633.171396</c:v>
                </c:pt>
                <c:pt idx="47">
                  <c:v>632.246379</c:v>
                </c:pt>
                <c:pt idx="48">
                  <c:v>631.265501</c:v>
                </c:pt>
                <c:pt idx="49">
                  <c:v>630.259754</c:v>
                </c:pt>
                <c:pt idx="50">
                  <c:v>629.226858</c:v>
                </c:pt>
                <c:pt idx="51">
                  <c:v>628.185178</c:v>
                </c:pt>
                <c:pt idx="52">
                  <c:v>627.275982</c:v>
                </c:pt>
                <c:pt idx="53">
                  <c:v>626.353069</c:v>
                </c:pt>
                <c:pt idx="54">
                  <c:v>625.628101</c:v>
                </c:pt>
                <c:pt idx="55">
                  <c:v>624.966284</c:v>
                </c:pt>
                <c:pt idx="56">
                  <c:v>624.321067</c:v>
                </c:pt>
                <c:pt idx="57">
                  <c:v>623.730598</c:v>
                </c:pt>
                <c:pt idx="58">
                  <c:v>623.221495</c:v>
                </c:pt>
                <c:pt idx="59">
                  <c:v>622.58107</c:v>
                </c:pt>
                <c:pt idx="60">
                  <c:v>621.781728</c:v>
                </c:pt>
                <c:pt idx="61">
                  <c:v>620.881376</c:v>
                </c:pt>
                <c:pt idx="62">
                  <c:v>619.873252</c:v>
                </c:pt>
                <c:pt idx="63">
                  <c:v>618.710977</c:v>
                </c:pt>
                <c:pt idx="64">
                  <c:v>617.42336</c:v>
                </c:pt>
                <c:pt idx="65">
                  <c:v>615.962</c:v>
                </c:pt>
                <c:pt idx="66">
                  <c:v>614.326011</c:v>
                </c:pt>
                <c:pt idx="67">
                  <c:v>612.602575</c:v>
                </c:pt>
                <c:pt idx="68">
                  <c:v>610.782485</c:v>
                </c:pt>
                <c:pt idx="69">
                  <c:v>608.887107</c:v>
                </c:pt>
                <c:pt idx="70">
                  <c:v>606.962426</c:v>
                </c:pt>
                <c:pt idx="71">
                  <c:v>601.516084</c:v>
                </c:pt>
                <c:pt idx="72">
                  <c:v>603.677207</c:v>
                </c:pt>
                <c:pt idx="73">
                  <c:v>602.996674</c:v>
                </c:pt>
                <c:pt idx="74">
                  <c:v>602.798603</c:v>
                </c:pt>
                <c:pt idx="75">
                  <c:v>603.040435</c:v>
                </c:pt>
                <c:pt idx="76">
                  <c:v>603.646761</c:v>
                </c:pt>
                <c:pt idx="77">
                  <c:v>604.521314</c:v>
                </c:pt>
                <c:pt idx="78">
                  <c:v>605.296861</c:v>
                </c:pt>
                <c:pt idx="79">
                  <c:v>606.275584</c:v>
                </c:pt>
                <c:pt idx="80">
                  <c:v>607.211926</c:v>
                </c:pt>
                <c:pt idx="81">
                  <c:v>608.129632</c:v>
                </c:pt>
                <c:pt idx="82">
                  <c:v>609.210141</c:v>
                </c:pt>
                <c:pt idx="83">
                  <c:v>610.207072</c:v>
                </c:pt>
                <c:pt idx="84">
                  <c:v>611.527697</c:v>
                </c:pt>
                <c:pt idx="85">
                  <c:v>612.956555</c:v>
                </c:pt>
                <c:pt idx="86">
                  <c:v>614.332943</c:v>
                </c:pt>
                <c:pt idx="87">
                  <c:v>615.624057</c:v>
                </c:pt>
                <c:pt idx="88">
                  <c:v>616.858734</c:v>
                </c:pt>
                <c:pt idx="89">
                  <c:v>617.836151</c:v>
                </c:pt>
                <c:pt idx="90">
                  <c:v>618.602482</c:v>
                </c:pt>
                <c:pt idx="91">
                  <c:v>619.291053</c:v>
                </c:pt>
                <c:pt idx="92">
                  <c:v>619.746484</c:v>
                </c:pt>
                <c:pt idx="93">
                  <c:v>620.078376</c:v>
                </c:pt>
                <c:pt idx="94">
                  <c:v>620.248817</c:v>
                </c:pt>
                <c:pt idx="95">
                  <c:v>620.296182</c:v>
                </c:pt>
                <c:pt idx="96">
                  <c:v>620.374762</c:v>
                </c:pt>
                <c:pt idx="97">
                  <c:v>620.500528</c:v>
                </c:pt>
                <c:pt idx="98">
                  <c:v>620.622352</c:v>
                </c:pt>
                <c:pt idx="99">
                  <c:v>620.693906</c:v>
                </c:pt>
                <c:pt idx="100">
                  <c:v>620.811343</c:v>
                </c:pt>
                <c:pt idx="101">
                  <c:v>620.973839</c:v>
                </c:pt>
                <c:pt idx="102">
                  <c:v>621.180033</c:v>
                </c:pt>
                <c:pt idx="103">
                  <c:v>621.423665</c:v>
                </c:pt>
                <c:pt idx="104">
                  <c:v>621.739237</c:v>
                </c:pt>
                <c:pt idx="105">
                  <c:v>622.098624</c:v>
                </c:pt>
                <c:pt idx="106">
                  <c:v>622.500576</c:v>
                </c:pt>
                <c:pt idx="107">
                  <c:v>622.869381</c:v>
                </c:pt>
                <c:pt idx="108">
                  <c:v>623.220014</c:v>
                </c:pt>
                <c:pt idx="109">
                  <c:v>623.464643</c:v>
                </c:pt>
                <c:pt idx="110">
                  <c:v>623.683515</c:v>
                </c:pt>
                <c:pt idx="111">
                  <c:v>623.799494</c:v>
                </c:pt>
                <c:pt idx="112">
                  <c:v>623.756583</c:v>
                </c:pt>
                <c:pt idx="113">
                  <c:v>623.691457</c:v>
                </c:pt>
                <c:pt idx="114">
                  <c:v>623.536655</c:v>
                </c:pt>
                <c:pt idx="115">
                  <c:v>623.299113</c:v>
                </c:pt>
                <c:pt idx="116">
                  <c:v>622.970507</c:v>
                </c:pt>
                <c:pt idx="117">
                  <c:v>622.552449</c:v>
                </c:pt>
                <c:pt idx="118">
                  <c:v>622.053388</c:v>
                </c:pt>
                <c:pt idx="119">
                  <c:v>621.647074</c:v>
                </c:pt>
                <c:pt idx="120">
                  <c:v>621.209138</c:v>
                </c:pt>
                <c:pt idx="121">
                  <c:v>620.714907</c:v>
                </c:pt>
                <c:pt idx="122">
                  <c:v>620.220527</c:v>
                </c:pt>
                <c:pt idx="123">
                  <c:v>619.730282</c:v>
                </c:pt>
                <c:pt idx="124">
                  <c:v>619.227563</c:v>
                </c:pt>
                <c:pt idx="125">
                  <c:v>618.617035</c:v>
                </c:pt>
                <c:pt idx="126">
                  <c:v>617.963174</c:v>
                </c:pt>
                <c:pt idx="127">
                  <c:v>617.253462</c:v>
                </c:pt>
                <c:pt idx="128">
                  <c:v>616.425606</c:v>
                </c:pt>
                <c:pt idx="129">
                  <c:v>615.581086</c:v>
                </c:pt>
                <c:pt idx="130">
                  <c:v>614.887772</c:v>
                </c:pt>
                <c:pt idx="131">
                  <c:v>614.252496</c:v>
                </c:pt>
                <c:pt idx="132">
                  <c:v>613.731136</c:v>
                </c:pt>
                <c:pt idx="133">
                  <c:v>613.500752</c:v>
                </c:pt>
                <c:pt idx="134">
                  <c:v>613.3702</c:v>
                </c:pt>
                <c:pt idx="135">
                  <c:v>613.309012</c:v>
                </c:pt>
              </c:numCache>
            </c:numRef>
          </c:yVal>
          <c:smooth val="0"/>
        </c:ser>
        <c:ser>
          <c:idx val="5"/>
          <c:order val="2"/>
          <c:tx>
            <c:v>Gradeline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Detail!$C$2:$C$22</c:f>
              <c:numCache>
                <c:ptCount val="21"/>
                <c:pt idx="0">
                  <c:v>5715</c:v>
                </c:pt>
                <c:pt idx="1">
                  <c:v>5727.5</c:v>
                </c:pt>
                <c:pt idx="2">
                  <c:v>5740</c:v>
                </c:pt>
                <c:pt idx="3">
                  <c:v>5752.5</c:v>
                </c:pt>
                <c:pt idx="4">
                  <c:v>5765</c:v>
                </c:pt>
                <c:pt idx="5">
                  <c:v>5777.5</c:v>
                </c:pt>
                <c:pt idx="6">
                  <c:v>5790</c:v>
                </c:pt>
                <c:pt idx="7">
                  <c:v>5802.5</c:v>
                </c:pt>
                <c:pt idx="8">
                  <c:v>5815</c:v>
                </c:pt>
                <c:pt idx="9">
                  <c:v>5827.5</c:v>
                </c:pt>
                <c:pt idx="10">
                  <c:v>5840</c:v>
                </c:pt>
                <c:pt idx="11">
                  <c:v>5852.5</c:v>
                </c:pt>
                <c:pt idx="12">
                  <c:v>5865</c:v>
                </c:pt>
                <c:pt idx="13">
                  <c:v>5877.5</c:v>
                </c:pt>
                <c:pt idx="14">
                  <c:v>5890</c:v>
                </c:pt>
                <c:pt idx="15">
                  <c:v>5902.5</c:v>
                </c:pt>
                <c:pt idx="16">
                  <c:v>5915</c:v>
                </c:pt>
                <c:pt idx="17">
                  <c:v>5927.5</c:v>
                </c:pt>
                <c:pt idx="18">
                  <c:v>5940</c:v>
                </c:pt>
                <c:pt idx="19">
                  <c:v>5952.5</c:v>
                </c:pt>
                <c:pt idx="20">
                  <c:v>5965</c:v>
                </c:pt>
              </c:numCache>
            </c:numRef>
          </c:xVal>
          <c:yVal>
            <c:numRef>
              <c:f>Detail!$D$2:$D$22</c:f>
              <c:numCache>
                <c:ptCount val="21"/>
                <c:pt idx="0">
                  <c:v>623.268516566265</c:v>
                </c:pt>
                <c:pt idx="1">
                  <c:v>622.9608858719336</c:v>
                </c:pt>
                <c:pt idx="2">
                  <c:v>622.6356971021924</c:v>
                </c:pt>
                <c:pt idx="3">
                  <c:v>622.2929502570412</c:v>
                </c:pt>
                <c:pt idx="4">
                  <c:v>621.9326453364802</c:v>
                </c:pt>
                <c:pt idx="5">
                  <c:v>621.5547823405093</c:v>
                </c:pt>
                <c:pt idx="6">
                  <c:v>621.1593612691287</c:v>
                </c:pt>
                <c:pt idx="7">
                  <c:v>620.746382122338</c:v>
                </c:pt>
                <c:pt idx="8">
                  <c:v>620.3158449001376</c:v>
                </c:pt>
                <c:pt idx="9">
                  <c:v>619.8677496025274</c:v>
                </c:pt>
                <c:pt idx="10">
                  <c:v>619.4020962295073</c:v>
                </c:pt>
                <c:pt idx="11">
                  <c:v>618.9188847810773</c:v>
                </c:pt>
                <c:pt idx="12">
                  <c:v>618.4181152572373</c:v>
                </c:pt>
                <c:pt idx="13">
                  <c:v>617.8997876579878</c:v>
                </c:pt>
                <c:pt idx="14">
                  <c:v>617.3639019833282</c:v>
                </c:pt>
                <c:pt idx="15">
                  <c:v>616.8104582332588</c:v>
                </c:pt>
                <c:pt idx="16">
                  <c:v>616.2394564077796</c:v>
                </c:pt>
                <c:pt idx="17">
                  <c:v>615.6508965068905</c:v>
                </c:pt>
                <c:pt idx="18">
                  <c:v>615.0447785305915</c:v>
                </c:pt>
                <c:pt idx="19">
                  <c:v>614.4211024788826</c:v>
                </c:pt>
                <c:pt idx="20">
                  <c:v>613.7798683517641</c:v>
                </c:pt>
              </c:numCache>
            </c:numRef>
          </c:yVal>
          <c:smooth val="0"/>
        </c:ser>
        <c:ser>
          <c:idx val="3"/>
          <c:order val="3"/>
          <c:tx>
            <c:v>Bridge Fills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 Calcs'!$B$10:$B$11</c:f>
              <c:numCache>
                <c:ptCount val="2"/>
                <c:pt idx="0">
                  <c:v>6120.046318843101</c:v>
                </c:pt>
                <c:pt idx="1">
                  <c:v>6133.01</c:v>
                </c:pt>
              </c:numCache>
            </c:numRef>
          </c:xVal>
          <c:yVal>
            <c:numRef>
              <c:f>'Temp Calcs'!$C$10:$C$11</c:f>
              <c:numCache>
                <c:ptCount val="2"/>
                <c:pt idx="0">
                  <c:v>606.0995042383425</c:v>
                </c:pt>
                <c:pt idx="1">
                  <c:v>599.64</c:v>
                </c:pt>
              </c:numCache>
            </c:numRef>
          </c:yVal>
          <c:smooth val="0"/>
        </c:ser>
        <c:ser>
          <c:idx val="1"/>
          <c:order val="4"/>
          <c:tx>
            <c:v>Bridge Fills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 Calcs'!$I$10:$I$11</c:f>
              <c:numCache>
                <c:ptCount val="2"/>
                <c:pt idx="0">
                  <c:v>6145.01</c:v>
                </c:pt>
                <c:pt idx="1">
                  <c:v>6155.64885314304</c:v>
                </c:pt>
              </c:numCache>
            </c:numRef>
          </c:xVal>
          <c:yVal>
            <c:numRef>
              <c:f>'Temp Calcs'!$J$10:$J$11</c:f>
              <c:numCache>
                <c:ptCount val="2"/>
                <c:pt idx="0">
                  <c:v>599.64</c:v>
                </c:pt>
                <c:pt idx="1">
                  <c:v>604.9791035674072</c:v>
                </c:pt>
              </c:numCache>
            </c:numRef>
          </c:yVal>
          <c:smooth val="0"/>
        </c:ser>
        <c:ser>
          <c:idx val="0"/>
          <c:order val="5"/>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Detail!$C$23:$C$43</c:f>
              <c:numCache>
                <c:ptCount val="21"/>
                <c:pt idx="0">
                  <c:v>6069.8</c:v>
                </c:pt>
                <c:pt idx="1">
                  <c:v>6084.8</c:v>
                </c:pt>
                <c:pt idx="2">
                  <c:v>6099.8</c:v>
                </c:pt>
                <c:pt idx="3">
                  <c:v>6114.8</c:v>
                </c:pt>
                <c:pt idx="4">
                  <c:v>6129.8</c:v>
                </c:pt>
                <c:pt idx="5">
                  <c:v>6144.8</c:v>
                </c:pt>
                <c:pt idx="6">
                  <c:v>6159.8</c:v>
                </c:pt>
                <c:pt idx="7">
                  <c:v>6174.8</c:v>
                </c:pt>
                <c:pt idx="8">
                  <c:v>6189.8</c:v>
                </c:pt>
                <c:pt idx="9">
                  <c:v>6204.8</c:v>
                </c:pt>
                <c:pt idx="10">
                  <c:v>6219.8</c:v>
                </c:pt>
                <c:pt idx="11">
                  <c:v>6234.8</c:v>
                </c:pt>
                <c:pt idx="12">
                  <c:v>6249.8</c:v>
                </c:pt>
                <c:pt idx="13">
                  <c:v>6264.8</c:v>
                </c:pt>
                <c:pt idx="14">
                  <c:v>6279.8</c:v>
                </c:pt>
                <c:pt idx="15">
                  <c:v>6294.8</c:v>
                </c:pt>
                <c:pt idx="16">
                  <c:v>6309.8</c:v>
                </c:pt>
                <c:pt idx="17">
                  <c:v>6324.8</c:v>
                </c:pt>
                <c:pt idx="18">
                  <c:v>6339.8</c:v>
                </c:pt>
                <c:pt idx="19">
                  <c:v>6354.8</c:v>
                </c:pt>
                <c:pt idx="20">
                  <c:v>6369.8</c:v>
                </c:pt>
              </c:numCache>
            </c:numRef>
          </c:xVal>
          <c:yVal>
            <c:numRef>
              <c:f>Detail!$D$23:$D$43</c:f>
              <c:numCache>
                <c:ptCount val="21"/>
                <c:pt idx="0">
                  <c:v>608.3301579778831</c:v>
                </c:pt>
                <c:pt idx="1">
                  <c:v>607.5840910622092</c:v>
                </c:pt>
                <c:pt idx="2">
                  <c:v>606.9059219107639</c:v>
                </c:pt>
                <c:pt idx="3">
                  <c:v>606.2956505235476</c:v>
                </c:pt>
                <c:pt idx="4">
                  <c:v>605.7532769005599</c:v>
                </c:pt>
                <c:pt idx="5">
                  <c:v>605.2788010418009</c:v>
                </c:pt>
                <c:pt idx="6">
                  <c:v>604.8722229472706</c:v>
                </c:pt>
                <c:pt idx="7">
                  <c:v>604.5335426169694</c:v>
                </c:pt>
                <c:pt idx="8">
                  <c:v>604.2627600508966</c:v>
                </c:pt>
                <c:pt idx="9">
                  <c:v>604.0598752490527</c:v>
                </c:pt>
                <c:pt idx="10">
                  <c:v>603.9248882114374</c:v>
                </c:pt>
                <c:pt idx="11">
                  <c:v>603.857798938051</c:v>
                </c:pt>
                <c:pt idx="12">
                  <c:v>603.8586074288934</c:v>
                </c:pt>
                <c:pt idx="13">
                  <c:v>603.9273136839644</c:v>
                </c:pt>
                <c:pt idx="14">
                  <c:v>604.0639177032641</c:v>
                </c:pt>
                <c:pt idx="15">
                  <c:v>604.2684194867928</c:v>
                </c:pt>
                <c:pt idx="16">
                  <c:v>604.54081903455</c:v>
                </c:pt>
                <c:pt idx="17">
                  <c:v>604.881116346536</c:v>
                </c:pt>
                <c:pt idx="18">
                  <c:v>605.2893114227509</c:v>
                </c:pt>
                <c:pt idx="19">
                  <c:v>605.7654042631945</c:v>
                </c:pt>
                <c:pt idx="20">
                  <c:v>606.3093948678667</c:v>
                </c:pt>
              </c:numCache>
            </c:numRef>
          </c:yVal>
          <c:smooth val="0"/>
        </c:ser>
        <c:ser>
          <c:idx val="6"/>
          <c:order val="6"/>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Detail!$C$44:$C$64</c:f>
              <c:numCache>
                <c:ptCount val="21"/>
                <c:pt idx="0">
                  <c:v>6592</c:v>
                </c:pt>
                <c:pt idx="1">
                  <c:v>6607</c:v>
                </c:pt>
                <c:pt idx="2">
                  <c:v>6622</c:v>
                </c:pt>
                <c:pt idx="3">
                  <c:v>6637</c:v>
                </c:pt>
                <c:pt idx="4">
                  <c:v>6652</c:v>
                </c:pt>
                <c:pt idx="5">
                  <c:v>6667</c:v>
                </c:pt>
                <c:pt idx="6">
                  <c:v>6682</c:v>
                </c:pt>
                <c:pt idx="7">
                  <c:v>6697</c:v>
                </c:pt>
                <c:pt idx="8">
                  <c:v>6712</c:v>
                </c:pt>
                <c:pt idx="9">
                  <c:v>6727</c:v>
                </c:pt>
                <c:pt idx="10">
                  <c:v>6742</c:v>
                </c:pt>
                <c:pt idx="11">
                  <c:v>6757</c:v>
                </c:pt>
                <c:pt idx="12">
                  <c:v>6772</c:v>
                </c:pt>
                <c:pt idx="13">
                  <c:v>6787</c:v>
                </c:pt>
                <c:pt idx="14">
                  <c:v>6802</c:v>
                </c:pt>
                <c:pt idx="15">
                  <c:v>6817</c:v>
                </c:pt>
                <c:pt idx="16">
                  <c:v>6832</c:v>
                </c:pt>
                <c:pt idx="17">
                  <c:v>6847</c:v>
                </c:pt>
                <c:pt idx="18">
                  <c:v>6862</c:v>
                </c:pt>
                <c:pt idx="19">
                  <c:v>6877</c:v>
                </c:pt>
                <c:pt idx="20">
                  <c:v>6892</c:v>
                </c:pt>
              </c:numCache>
            </c:numRef>
          </c:xVal>
          <c:yVal>
            <c:numRef>
              <c:f>Detail!$D$44:$D$64</c:f>
              <c:numCache>
                <c:ptCount val="21"/>
                <c:pt idx="0">
                  <c:v>614.8706051321333</c:v>
                </c:pt>
                <c:pt idx="1">
                  <c:v>615.4361471749694</c:v>
                </c:pt>
                <c:pt idx="2">
                  <c:v>615.9768943299042</c:v>
                </c:pt>
                <c:pt idx="3">
                  <c:v>616.492846596938</c:v>
                </c:pt>
                <c:pt idx="4">
                  <c:v>616.9840039760705</c:v>
                </c:pt>
                <c:pt idx="5">
                  <c:v>617.4503664673019</c:v>
                </c:pt>
                <c:pt idx="6">
                  <c:v>617.891934070632</c:v>
                </c:pt>
                <c:pt idx="7">
                  <c:v>618.3087067860611</c:v>
                </c:pt>
                <c:pt idx="8">
                  <c:v>618.7006846135889</c:v>
                </c:pt>
                <c:pt idx="9">
                  <c:v>619.0678675532155</c:v>
                </c:pt>
                <c:pt idx="10">
                  <c:v>619.4102556049409</c:v>
                </c:pt>
                <c:pt idx="11">
                  <c:v>619.7278487687652</c:v>
                </c:pt>
                <c:pt idx="12">
                  <c:v>620.0206470446883</c:v>
                </c:pt>
                <c:pt idx="13">
                  <c:v>620.2886504327101</c:v>
                </c:pt>
                <c:pt idx="14">
                  <c:v>620.5318589328309</c:v>
                </c:pt>
                <c:pt idx="15">
                  <c:v>620.7502725450505</c:v>
                </c:pt>
                <c:pt idx="16">
                  <c:v>620.9438912693688</c:v>
                </c:pt>
                <c:pt idx="17">
                  <c:v>621.1127151057859</c:v>
                </c:pt>
                <c:pt idx="18">
                  <c:v>621.256744054302</c:v>
                </c:pt>
                <c:pt idx="19">
                  <c:v>621.3759781149168</c:v>
                </c:pt>
                <c:pt idx="20">
                  <c:v>621.4704172876304</c:v>
                </c:pt>
              </c:numCache>
            </c:numRef>
          </c:yVal>
          <c:smooth val="0"/>
        </c:ser>
        <c:ser>
          <c:idx val="7"/>
          <c:order val="7"/>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Detail!$C$65:$C$85</c:f>
              <c:numCache>
                <c:ptCount val="21"/>
                <c:pt idx="0">
                  <c:v>7300.5</c:v>
                </c:pt>
                <c:pt idx="1">
                  <c:v>7311.75</c:v>
                </c:pt>
                <c:pt idx="2">
                  <c:v>7323</c:v>
                </c:pt>
                <c:pt idx="3">
                  <c:v>7334.25</c:v>
                </c:pt>
                <c:pt idx="4">
                  <c:v>7345.5</c:v>
                </c:pt>
                <c:pt idx="5">
                  <c:v>7356.75</c:v>
                </c:pt>
                <c:pt idx="6">
                  <c:v>7368</c:v>
                </c:pt>
                <c:pt idx="7">
                  <c:v>7379.25</c:v>
                </c:pt>
                <c:pt idx="8">
                  <c:v>7390.5</c:v>
                </c:pt>
                <c:pt idx="9">
                  <c:v>7401.75</c:v>
                </c:pt>
                <c:pt idx="10">
                  <c:v>7413</c:v>
                </c:pt>
                <c:pt idx="11">
                  <c:v>7424.25</c:v>
                </c:pt>
                <c:pt idx="12">
                  <c:v>7435.5</c:v>
                </c:pt>
                <c:pt idx="13">
                  <c:v>7446.75</c:v>
                </c:pt>
                <c:pt idx="14">
                  <c:v>7458</c:v>
                </c:pt>
                <c:pt idx="15">
                  <c:v>7469.25</c:v>
                </c:pt>
                <c:pt idx="16">
                  <c:v>7480.5</c:v>
                </c:pt>
                <c:pt idx="17">
                  <c:v>7491.75</c:v>
                </c:pt>
                <c:pt idx="18">
                  <c:v>7503</c:v>
                </c:pt>
                <c:pt idx="19">
                  <c:v>7514.25</c:v>
                </c:pt>
                <c:pt idx="20">
                  <c:v>7525.5</c:v>
                </c:pt>
              </c:numCache>
            </c:numRef>
          </c:xVal>
          <c:yVal>
            <c:numRef>
              <c:f>Detail!$D$65:$D$85</c:f>
              <c:numCache>
                <c:ptCount val="21"/>
                <c:pt idx="0">
                  <c:v>623.7046870342772</c:v>
                </c:pt>
                <c:pt idx="1">
                  <c:v>623.759140887753</c:v>
                </c:pt>
                <c:pt idx="2">
                  <c:v>623.7994398550356</c:v>
                </c:pt>
                <c:pt idx="3">
                  <c:v>623.8255839361253</c:v>
                </c:pt>
                <c:pt idx="4">
                  <c:v>623.8375731310217</c:v>
                </c:pt>
                <c:pt idx="5">
                  <c:v>623.8354074397253</c:v>
                </c:pt>
                <c:pt idx="6">
                  <c:v>623.8190868622356</c:v>
                </c:pt>
                <c:pt idx="7">
                  <c:v>623.788611398553</c:v>
                </c:pt>
                <c:pt idx="8">
                  <c:v>623.7439810486774</c:v>
                </c:pt>
                <c:pt idx="9">
                  <c:v>623.6851958126085</c:v>
                </c:pt>
                <c:pt idx="10">
                  <c:v>623.6122556903467</c:v>
                </c:pt>
                <c:pt idx="11">
                  <c:v>623.5251606818917</c:v>
                </c:pt>
                <c:pt idx="12">
                  <c:v>623.4239107872437</c:v>
                </c:pt>
                <c:pt idx="13">
                  <c:v>623.3085060064027</c:v>
                </c:pt>
                <c:pt idx="14">
                  <c:v>623.1789463393686</c:v>
                </c:pt>
                <c:pt idx="15">
                  <c:v>623.0352317861415</c:v>
                </c:pt>
                <c:pt idx="16">
                  <c:v>622.8773623467212</c:v>
                </c:pt>
                <c:pt idx="17">
                  <c:v>622.7053380211079</c:v>
                </c:pt>
                <c:pt idx="18">
                  <c:v>622.5191588093014</c:v>
                </c:pt>
                <c:pt idx="19">
                  <c:v>622.318824711302</c:v>
                </c:pt>
                <c:pt idx="20">
                  <c:v>622.1043357271095</c:v>
                </c:pt>
              </c:numCache>
            </c:numRef>
          </c:yVal>
          <c:smooth val="0"/>
        </c:ser>
        <c:ser>
          <c:idx val="8"/>
          <c:order val="8"/>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Detail!$C$86:$C$106</c:f>
              <c:numCache>
                <c:ptCount val="21"/>
                <c:pt idx="0">
                  <c:v>7932.5</c:v>
                </c:pt>
                <c:pt idx="1">
                  <c:v>7936.25</c:v>
                </c:pt>
                <c:pt idx="2">
                  <c:v>7940</c:v>
                </c:pt>
                <c:pt idx="3">
                  <c:v>7943.75</c:v>
                </c:pt>
                <c:pt idx="4">
                  <c:v>7947.5</c:v>
                </c:pt>
                <c:pt idx="5">
                  <c:v>7951.25</c:v>
                </c:pt>
                <c:pt idx="6">
                  <c:v>7955</c:v>
                </c:pt>
                <c:pt idx="7">
                  <c:v>7958.75</c:v>
                </c:pt>
                <c:pt idx="8">
                  <c:v>7962.5</c:v>
                </c:pt>
                <c:pt idx="9">
                  <c:v>7966.25</c:v>
                </c:pt>
                <c:pt idx="10">
                  <c:v>7970</c:v>
                </c:pt>
                <c:pt idx="11">
                  <c:v>7973.75</c:v>
                </c:pt>
                <c:pt idx="12">
                  <c:v>7977.5</c:v>
                </c:pt>
                <c:pt idx="13">
                  <c:v>7981.25</c:v>
                </c:pt>
                <c:pt idx="14">
                  <c:v>7985</c:v>
                </c:pt>
                <c:pt idx="15">
                  <c:v>7988.75</c:v>
                </c:pt>
                <c:pt idx="16">
                  <c:v>7992.5</c:v>
                </c:pt>
                <c:pt idx="17">
                  <c:v>7996.25</c:v>
                </c:pt>
                <c:pt idx="18">
                  <c:v>8000</c:v>
                </c:pt>
                <c:pt idx="19">
                  <c:v>8003.75</c:v>
                </c:pt>
                <c:pt idx="20">
                  <c:v>8007.5</c:v>
                </c:pt>
              </c:numCache>
            </c:numRef>
          </c:xVal>
          <c:yVal>
            <c:numRef>
              <c:f>Detail!$D$86:$D$106</c:f>
              <c:numCache>
                <c:ptCount val="21"/>
                <c:pt idx="0">
                  <c:v>614.0885547576302</c:v>
                </c:pt>
                <c:pt idx="1">
                  <c:v>614.0164922668624</c:v>
                </c:pt>
                <c:pt idx="2">
                  <c:v>613.9480157460855</c:v>
                </c:pt>
                <c:pt idx="3">
                  <c:v>613.8831251952992</c:v>
                </c:pt>
                <c:pt idx="4">
                  <c:v>613.8218206145035</c:v>
                </c:pt>
                <c:pt idx="5">
                  <c:v>613.7641020036986</c:v>
                </c:pt>
                <c:pt idx="6">
                  <c:v>613.7099693628843</c:v>
                </c:pt>
                <c:pt idx="7">
                  <c:v>613.6594226920608</c:v>
                </c:pt>
                <c:pt idx="8">
                  <c:v>613.6124619912279</c:v>
                </c:pt>
                <c:pt idx="9">
                  <c:v>613.5690872603857</c:v>
                </c:pt>
                <c:pt idx="10">
                  <c:v>613.5292984995341</c:v>
                </c:pt>
                <c:pt idx="11">
                  <c:v>613.4930957086733</c:v>
                </c:pt>
                <c:pt idx="12">
                  <c:v>613.4604788878031</c:v>
                </c:pt>
                <c:pt idx="13">
                  <c:v>613.4314480369236</c:v>
                </c:pt>
                <c:pt idx="14">
                  <c:v>613.4060031560348</c:v>
                </c:pt>
                <c:pt idx="15">
                  <c:v>613.3841442451367</c:v>
                </c:pt>
                <c:pt idx="16">
                  <c:v>613.3658713042292</c:v>
                </c:pt>
                <c:pt idx="17">
                  <c:v>613.3511843333124</c:v>
                </c:pt>
                <c:pt idx="18">
                  <c:v>613.3400833323864</c:v>
                </c:pt>
                <c:pt idx="19">
                  <c:v>613.332568301451</c:v>
                </c:pt>
                <c:pt idx="20">
                  <c:v>613.3286392405064</c:v>
                </c:pt>
              </c:numCache>
            </c:numRef>
          </c:yVal>
          <c:smooth val="0"/>
        </c:ser>
        <c:ser>
          <c:idx val="9"/>
          <c:order val="9"/>
          <c:tx>
            <c:v>Existing Gradeline</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Ground!$D$3:$D$4517</c:f>
              <c:numCache>
                <c:ptCount val="4515"/>
              </c:numCache>
            </c:numRef>
          </c:xVal>
          <c:yVal>
            <c:numRef>
              <c:f>Ground!$E$3:$E$4520</c:f>
              <c:numCache>
                <c:ptCount val="4518"/>
              </c:numCache>
            </c:numRef>
          </c:yVal>
          <c:smooth val="0"/>
        </c:ser>
        <c:axId val="52475528"/>
        <c:axId val="2517705"/>
      </c:scatterChart>
      <c:valAx>
        <c:axId val="52475528"/>
        <c:scaling>
          <c:orientation val="minMax"/>
          <c:min val="4000"/>
        </c:scaling>
        <c:axPos val="b"/>
        <c:title>
          <c:tx>
            <c:rich>
              <a:bodyPr vert="horz" rot="0" anchor="ctr"/>
              <a:lstStyle/>
              <a:p>
                <a:pPr algn="ctr">
                  <a:defRPr/>
                </a:pPr>
                <a:r>
                  <a:rPr lang="en-US" cap="none" sz="1400" b="1" i="0" u="none" baseline="0">
                    <a:latin typeface="Arial"/>
                    <a:ea typeface="Arial"/>
                    <a:cs typeface="Arial"/>
                  </a:rPr>
                  <a:t>Station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17705"/>
        <c:crosses val="autoZero"/>
        <c:crossBetween val="midCat"/>
        <c:dispUnits/>
      </c:valAx>
      <c:valAx>
        <c:axId val="2517705"/>
        <c:scaling>
          <c:orientation val="minMax"/>
        </c:scaling>
        <c:axPos val="l"/>
        <c:title>
          <c:tx>
            <c:rich>
              <a:bodyPr vert="horz" rot="-5400000" anchor="ctr"/>
              <a:lstStyle/>
              <a:p>
                <a:pPr algn="ctr">
                  <a:defRPr/>
                </a:pPr>
                <a:r>
                  <a:rPr lang="en-US" cap="none" sz="1400" b="1" i="0" u="none" baseline="0">
                    <a:latin typeface="Arial"/>
                    <a:ea typeface="Arial"/>
                    <a:cs typeface="Arial"/>
                  </a:rPr>
                  <a:t>Elevation (m)</a:t>
                </a:r>
              </a:p>
            </c:rich>
          </c:tx>
          <c:layout/>
          <c:overlay val="0"/>
          <c:spPr>
            <a:noFill/>
            <a:ln>
              <a:noFill/>
            </a:ln>
          </c:spPr>
        </c:title>
        <c:majorGridlines/>
        <c:delete val="0"/>
        <c:numFmt formatCode="0.0" sourceLinked="0"/>
        <c:majorTickMark val="out"/>
        <c:minorTickMark val="none"/>
        <c:tickLblPos val="nextTo"/>
        <c:txPr>
          <a:bodyPr/>
          <a:lstStyle/>
          <a:p>
            <a:pPr>
              <a:defRPr lang="en-US" cap="none" sz="1200" b="0" i="0" u="none" baseline="0">
                <a:latin typeface="Arial"/>
                <a:ea typeface="Arial"/>
                <a:cs typeface="Arial"/>
              </a:defRPr>
            </a:pPr>
          </a:p>
        </c:txPr>
        <c:crossAx val="52475528"/>
        <c:crosses val="autoZero"/>
        <c:crossBetween val="midCat"/>
        <c:dispUnits/>
      </c:valAx>
      <c:spPr>
        <a:noFill/>
        <a:ln w="25400">
          <a:solid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77"/>
          <c:y val="0.04775"/>
          <c:w val="0.18975"/>
          <c:h val="0.16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175"/>
          <c:w val="0.92925"/>
          <c:h val="0.9155"/>
        </c:manualLayout>
      </c:layout>
      <c:scatterChart>
        <c:scatterStyle val="lineMarker"/>
        <c:varyColors val="0"/>
        <c:ser>
          <c:idx val="4"/>
          <c:order val="0"/>
          <c:tx>
            <c:v>VPI</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plus"/>
            <c:size val="10"/>
            <c:spPr>
              <a:noFill/>
              <a:ln>
                <a:solidFill>
                  <a:srgbClr val="000000"/>
                </a:solidFill>
              </a:ln>
            </c:spPr>
          </c:marker>
          <c:xVal>
            <c:numRef>
              <c:f>Data!$C$3:$C$9</c:f>
              <c:numCache>
                <c:ptCount val="7"/>
                <c:pt idx="0">
                  <c:v>4512</c:v>
                </c:pt>
                <c:pt idx="1">
                  <c:v>5840</c:v>
                </c:pt>
                <c:pt idx="2">
                  <c:v>6219.8</c:v>
                </c:pt>
                <c:pt idx="3">
                  <c:v>6742</c:v>
                </c:pt>
                <c:pt idx="4">
                  <c:v>7413</c:v>
                </c:pt>
                <c:pt idx="5">
                  <c:v>7970</c:v>
                </c:pt>
                <c:pt idx="6">
                  <c:v>8286</c:v>
                </c:pt>
              </c:numCache>
            </c:numRef>
          </c:xVal>
          <c:yVal>
            <c:numRef>
              <c:f>Data!$D$3:$D$9</c:f>
              <c:numCache>
                <c:ptCount val="7"/>
                <c:pt idx="0">
                  <c:v>652.03</c:v>
                </c:pt>
                <c:pt idx="1">
                  <c:v>620.28</c:v>
                </c:pt>
                <c:pt idx="2">
                  <c:v>600.53</c:v>
                </c:pt>
                <c:pt idx="3">
                  <c:v>620.65</c:v>
                </c:pt>
                <c:pt idx="4">
                  <c:v>624.32</c:v>
                </c:pt>
                <c:pt idx="5">
                  <c:v>613.35</c:v>
                </c:pt>
                <c:pt idx="6">
                  <c:v>613.17</c:v>
                </c:pt>
              </c:numCache>
            </c:numRef>
          </c:yVal>
          <c:smooth val="0"/>
        </c:ser>
        <c:ser>
          <c:idx val="2"/>
          <c:order val="1"/>
          <c:tx>
            <c:v>Ground</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Ground!$A$3:$A$4999</c:f>
              <c:numCache>
                <c:ptCount val="4997"/>
                <c:pt idx="0">
                  <c:v>4000</c:v>
                </c:pt>
                <c:pt idx="1">
                  <c:v>4030</c:v>
                </c:pt>
                <c:pt idx="2">
                  <c:v>4060</c:v>
                </c:pt>
                <c:pt idx="3">
                  <c:v>4090</c:v>
                </c:pt>
                <c:pt idx="4">
                  <c:v>4120</c:v>
                </c:pt>
                <c:pt idx="5">
                  <c:v>4150</c:v>
                </c:pt>
                <c:pt idx="6">
                  <c:v>4180</c:v>
                </c:pt>
                <c:pt idx="7">
                  <c:v>4210</c:v>
                </c:pt>
                <c:pt idx="8">
                  <c:v>4240</c:v>
                </c:pt>
                <c:pt idx="9">
                  <c:v>4270</c:v>
                </c:pt>
                <c:pt idx="10">
                  <c:v>4300</c:v>
                </c:pt>
                <c:pt idx="11">
                  <c:v>4330</c:v>
                </c:pt>
                <c:pt idx="12">
                  <c:v>4360</c:v>
                </c:pt>
                <c:pt idx="13">
                  <c:v>4390</c:v>
                </c:pt>
                <c:pt idx="14">
                  <c:v>4420</c:v>
                </c:pt>
                <c:pt idx="15">
                  <c:v>4450</c:v>
                </c:pt>
                <c:pt idx="16">
                  <c:v>4480</c:v>
                </c:pt>
                <c:pt idx="17">
                  <c:v>4510</c:v>
                </c:pt>
                <c:pt idx="18">
                  <c:v>4540</c:v>
                </c:pt>
                <c:pt idx="19">
                  <c:v>4570</c:v>
                </c:pt>
                <c:pt idx="20">
                  <c:v>4600</c:v>
                </c:pt>
                <c:pt idx="21">
                  <c:v>4630</c:v>
                </c:pt>
                <c:pt idx="22">
                  <c:v>4660</c:v>
                </c:pt>
                <c:pt idx="23">
                  <c:v>4690</c:v>
                </c:pt>
                <c:pt idx="24">
                  <c:v>4720</c:v>
                </c:pt>
                <c:pt idx="25">
                  <c:v>4750</c:v>
                </c:pt>
                <c:pt idx="26">
                  <c:v>4780</c:v>
                </c:pt>
                <c:pt idx="27">
                  <c:v>4810</c:v>
                </c:pt>
                <c:pt idx="28">
                  <c:v>4840</c:v>
                </c:pt>
                <c:pt idx="29">
                  <c:v>4870</c:v>
                </c:pt>
                <c:pt idx="30">
                  <c:v>4900</c:v>
                </c:pt>
                <c:pt idx="31">
                  <c:v>4930</c:v>
                </c:pt>
                <c:pt idx="32">
                  <c:v>4960</c:v>
                </c:pt>
                <c:pt idx="33">
                  <c:v>4990</c:v>
                </c:pt>
                <c:pt idx="34">
                  <c:v>5020</c:v>
                </c:pt>
                <c:pt idx="35">
                  <c:v>5050</c:v>
                </c:pt>
                <c:pt idx="36">
                  <c:v>5080</c:v>
                </c:pt>
                <c:pt idx="37">
                  <c:v>5110</c:v>
                </c:pt>
                <c:pt idx="38">
                  <c:v>5140</c:v>
                </c:pt>
                <c:pt idx="39">
                  <c:v>5170</c:v>
                </c:pt>
                <c:pt idx="40">
                  <c:v>5200</c:v>
                </c:pt>
                <c:pt idx="41">
                  <c:v>5230</c:v>
                </c:pt>
                <c:pt idx="42">
                  <c:v>5260</c:v>
                </c:pt>
                <c:pt idx="43">
                  <c:v>5290</c:v>
                </c:pt>
                <c:pt idx="44">
                  <c:v>5320</c:v>
                </c:pt>
                <c:pt idx="45">
                  <c:v>5350</c:v>
                </c:pt>
                <c:pt idx="46">
                  <c:v>5380</c:v>
                </c:pt>
                <c:pt idx="47">
                  <c:v>5410</c:v>
                </c:pt>
                <c:pt idx="48">
                  <c:v>5440</c:v>
                </c:pt>
                <c:pt idx="49">
                  <c:v>5470</c:v>
                </c:pt>
                <c:pt idx="50">
                  <c:v>5500</c:v>
                </c:pt>
                <c:pt idx="51">
                  <c:v>5530</c:v>
                </c:pt>
                <c:pt idx="52">
                  <c:v>5560</c:v>
                </c:pt>
                <c:pt idx="53">
                  <c:v>5590</c:v>
                </c:pt>
                <c:pt idx="54">
                  <c:v>5620</c:v>
                </c:pt>
                <c:pt idx="55">
                  <c:v>5650</c:v>
                </c:pt>
                <c:pt idx="56">
                  <c:v>5680</c:v>
                </c:pt>
                <c:pt idx="57">
                  <c:v>5710</c:v>
                </c:pt>
                <c:pt idx="58">
                  <c:v>5740</c:v>
                </c:pt>
                <c:pt idx="59">
                  <c:v>5770</c:v>
                </c:pt>
                <c:pt idx="60">
                  <c:v>5800</c:v>
                </c:pt>
                <c:pt idx="61">
                  <c:v>5830</c:v>
                </c:pt>
                <c:pt idx="62">
                  <c:v>5860</c:v>
                </c:pt>
                <c:pt idx="63">
                  <c:v>5890</c:v>
                </c:pt>
                <c:pt idx="64">
                  <c:v>5920</c:v>
                </c:pt>
                <c:pt idx="65">
                  <c:v>5950</c:v>
                </c:pt>
                <c:pt idx="66">
                  <c:v>5980</c:v>
                </c:pt>
                <c:pt idx="67">
                  <c:v>6010</c:v>
                </c:pt>
                <c:pt idx="68">
                  <c:v>6040</c:v>
                </c:pt>
                <c:pt idx="69">
                  <c:v>6070</c:v>
                </c:pt>
                <c:pt idx="70">
                  <c:v>6100</c:v>
                </c:pt>
                <c:pt idx="71">
                  <c:v>6130</c:v>
                </c:pt>
                <c:pt idx="72">
                  <c:v>6160</c:v>
                </c:pt>
                <c:pt idx="73">
                  <c:v>6190</c:v>
                </c:pt>
                <c:pt idx="74">
                  <c:v>6220</c:v>
                </c:pt>
                <c:pt idx="75">
                  <c:v>6250</c:v>
                </c:pt>
                <c:pt idx="76">
                  <c:v>6280</c:v>
                </c:pt>
                <c:pt idx="77">
                  <c:v>6310</c:v>
                </c:pt>
                <c:pt idx="78">
                  <c:v>6340</c:v>
                </c:pt>
                <c:pt idx="79">
                  <c:v>6370</c:v>
                </c:pt>
                <c:pt idx="80">
                  <c:v>6400</c:v>
                </c:pt>
                <c:pt idx="81">
                  <c:v>6430</c:v>
                </c:pt>
                <c:pt idx="82">
                  <c:v>6460</c:v>
                </c:pt>
                <c:pt idx="83">
                  <c:v>6490</c:v>
                </c:pt>
                <c:pt idx="84">
                  <c:v>6520</c:v>
                </c:pt>
                <c:pt idx="85">
                  <c:v>6550</c:v>
                </c:pt>
                <c:pt idx="86">
                  <c:v>6580</c:v>
                </c:pt>
                <c:pt idx="87">
                  <c:v>6610</c:v>
                </c:pt>
                <c:pt idx="88">
                  <c:v>6640</c:v>
                </c:pt>
                <c:pt idx="89">
                  <c:v>6670</c:v>
                </c:pt>
                <c:pt idx="90">
                  <c:v>6700</c:v>
                </c:pt>
                <c:pt idx="91">
                  <c:v>6730</c:v>
                </c:pt>
                <c:pt idx="92">
                  <c:v>6760</c:v>
                </c:pt>
                <c:pt idx="93">
                  <c:v>6790</c:v>
                </c:pt>
                <c:pt idx="94">
                  <c:v>6820</c:v>
                </c:pt>
                <c:pt idx="95">
                  <c:v>6850</c:v>
                </c:pt>
                <c:pt idx="96">
                  <c:v>6880</c:v>
                </c:pt>
                <c:pt idx="97">
                  <c:v>6910</c:v>
                </c:pt>
                <c:pt idx="98">
                  <c:v>6940</c:v>
                </c:pt>
                <c:pt idx="99">
                  <c:v>6970</c:v>
                </c:pt>
                <c:pt idx="100">
                  <c:v>7000</c:v>
                </c:pt>
                <c:pt idx="101">
                  <c:v>7030</c:v>
                </c:pt>
                <c:pt idx="102">
                  <c:v>7060</c:v>
                </c:pt>
                <c:pt idx="103">
                  <c:v>7090</c:v>
                </c:pt>
                <c:pt idx="104">
                  <c:v>7120</c:v>
                </c:pt>
                <c:pt idx="105">
                  <c:v>7150</c:v>
                </c:pt>
                <c:pt idx="106">
                  <c:v>7180</c:v>
                </c:pt>
                <c:pt idx="107">
                  <c:v>7210</c:v>
                </c:pt>
                <c:pt idx="108">
                  <c:v>7240</c:v>
                </c:pt>
                <c:pt idx="109">
                  <c:v>7270</c:v>
                </c:pt>
                <c:pt idx="110">
                  <c:v>7300</c:v>
                </c:pt>
                <c:pt idx="111">
                  <c:v>7330</c:v>
                </c:pt>
                <c:pt idx="112">
                  <c:v>7360</c:v>
                </c:pt>
                <c:pt idx="113">
                  <c:v>7390</c:v>
                </c:pt>
                <c:pt idx="114">
                  <c:v>7420</c:v>
                </c:pt>
                <c:pt idx="115">
                  <c:v>7450</c:v>
                </c:pt>
                <c:pt idx="116">
                  <c:v>7480</c:v>
                </c:pt>
                <c:pt idx="117">
                  <c:v>7510</c:v>
                </c:pt>
                <c:pt idx="118">
                  <c:v>7540</c:v>
                </c:pt>
                <c:pt idx="119">
                  <c:v>7570</c:v>
                </c:pt>
                <c:pt idx="120">
                  <c:v>7600</c:v>
                </c:pt>
                <c:pt idx="121">
                  <c:v>7630</c:v>
                </c:pt>
                <c:pt idx="122">
                  <c:v>7660</c:v>
                </c:pt>
                <c:pt idx="123">
                  <c:v>7690</c:v>
                </c:pt>
                <c:pt idx="124">
                  <c:v>7720</c:v>
                </c:pt>
                <c:pt idx="125">
                  <c:v>7750</c:v>
                </c:pt>
                <c:pt idx="126">
                  <c:v>7780</c:v>
                </c:pt>
                <c:pt idx="127">
                  <c:v>7810</c:v>
                </c:pt>
                <c:pt idx="128">
                  <c:v>7840</c:v>
                </c:pt>
                <c:pt idx="129">
                  <c:v>7870</c:v>
                </c:pt>
                <c:pt idx="130">
                  <c:v>7900</c:v>
                </c:pt>
                <c:pt idx="131">
                  <c:v>7930</c:v>
                </c:pt>
                <c:pt idx="132">
                  <c:v>7960</c:v>
                </c:pt>
                <c:pt idx="133">
                  <c:v>7990</c:v>
                </c:pt>
                <c:pt idx="134">
                  <c:v>8020</c:v>
                </c:pt>
                <c:pt idx="135">
                  <c:v>8048</c:v>
                </c:pt>
              </c:numCache>
            </c:numRef>
          </c:xVal>
          <c:yVal>
            <c:numRef>
              <c:f>Ground!$B$3:$B$4999</c:f>
              <c:numCache>
                <c:ptCount val="4997"/>
                <c:pt idx="0">
                  <c:v>649.164</c:v>
                </c:pt>
                <c:pt idx="1">
                  <c:v>648.956249</c:v>
                </c:pt>
                <c:pt idx="2">
                  <c:v>648.72404</c:v>
                </c:pt>
                <c:pt idx="3">
                  <c:v>648.425724</c:v>
                </c:pt>
                <c:pt idx="4">
                  <c:v>648.097765</c:v>
                </c:pt>
                <c:pt idx="5">
                  <c:v>647.714894</c:v>
                </c:pt>
                <c:pt idx="6">
                  <c:v>647.258474</c:v>
                </c:pt>
                <c:pt idx="7">
                  <c:v>646.781414</c:v>
                </c:pt>
                <c:pt idx="8">
                  <c:v>646.295517</c:v>
                </c:pt>
                <c:pt idx="9">
                  <c:v>645.856957</c:v>
                </c:pt>
                <c:pt idx="10">
                  <c:v>645.492023</c:v>
                </c:pt>
                <c:pt idx="11">
                  <c:v>645.12139</c:v>
                </c:pt>
                <c:pt idx="12">
                  <c:v>644.756761</c:v>
                </c:pt>
                <c:pt idx="13">
                  <c:v>644.446072</c:v>
                </c:pt>
                <c:pt idx="14">
                  <c:v>644.177317</c:v>
                </c:pt>
                <c:pt idx="15">
                  <c:v>643.959971</c:v>
                </c:pt>
                <c:pt idx="16">
                  <c:v>643.754337</c:v>
                </c:pt>
                <c:pt idx="17">
                  <c:v>643.543137</c:v>
                </c:pt>
                <c:pt idx="18">
                  <c:v>643.431214</c:v>
                </c:pt>
                <c:pt idx="19">
                  <c:v>643.25558</c:v>
                </c:pt>
                <c:pt idx="20">
                  <c:v>643.063261</c:v>
                </c:pt>
                <c:pt idx="21">
                  <c:v>642.851972</c:v>
                </c:pt>
                <c:pt idx="22">
                  <c:v>642.53548</c:v>
                </c:pt>
                <c:pt idx="23">
                  <c:v>642.303046</c:v>
                </c:pt>
                <c:pt idx="24">
                  <c:v>642.029381</c:v>
                </c:pt>
                <c:pt idx="25">
                  <c:v>641.759833</c:v>
                </c:pt>
                <c:pt idx="26">
                  <c:v>641.462076</c:v>
                </c:pt>
                <c:pt idx="27">
                  <c:v>641.119776</c:v>
                </c:pt>
                <c:pt idx="28">
                  <c:v>640.85115</c:v>
                </c:pt>
                <c:pt idx="29">
                  <c:v>640.603851</c:v>
                </c:pt>
                <c:pt idx="30">
                  <c:v>640.264022</c:v>
                </c:pt>
                <c:pt idx="31">
                  <c:v>639.938563</c:v>
                </c:pt>
                <c:pt idx="32">
                  <c:v>639.587609</c:v>
                </c:pt>
                <c:pt idx="33">
                  <c:v>639.199157</c:v>
                </c:pt>
                <c:pt idx="34">
                  <c:v>638.851436</c:v>
                </c:pt>
                <c:pt idx="35">
                  <c:v>638.507122</c:v>
                </c:pt>
                <c:pt idx="36">
                  <c:v>638.163497</c:v>
                </c:pt>
                <c:pt idx="37">
                  <c:v>637.824532</c:v>
                </c:pt>
                <c:pt idx="38">
                  <c:v>637.488925</c:v>
                </c:pt>
                <c:pt idx="39">
                  <c:v>637.166257</c:v>
                </c:pt>
                <c:pt idx="40">
                  <c:v>636.880397</c:v>
                </c:pt>
                <c:pt idx="41">
                  <c:v>636.53673</c:v>
                </c:pt>
                <c:pt idx="42">
                  <c:v>636.02149</c:v>
                </c:pt>
                <c:pt idx="43">
                  <c:v>635.437969</c:v>
                </c:pt>
                <c:pt idx="44">
                  <c:v>634.773479</c:v>
                </c:pt>
                <c:pt idx="45">
                  <c:v>634.017922</c:v>
                </c:pt>
                <c:pt idx="46">
                  <c:v>633.171396</c:v>
                </c:pt>
                <c:pt idx="47">
                  <c:v>632.246379</c:v>
                </c:pt>
                <c:pt idx="48">
                  <c:v>631.265501</c:v>
                </c:pt>
                <c:pt idx="49">
                  <c:v>630.259754</c:v>
                </c:pt>
                <c:pt idx="50">
                  <c:v>629.226858</c:v>
                </c:pt>
                <c:pt idx="51">
                  <c:v>628.185178</c:v>
                </c:pt>
                <c:pt idx="52">
                  <c:v>627.275982</c:v>
                </c:pt>
                <c:pt idx="53">
                  <c:v>626.353069</c:v>
                </c:pt>
                <c:pt idx="54">
                  <c:v>625.628101</c:v>
                </c:pt>
                <c:pt idx="55">
                  <c:v>624.966284</c:v>
                </c:pt>
                <c:pt idx="56">
                  <c:v>624.321067</c:v>
                </c:pt>
                <c:pt idx="57">
                  <c:v>623.730598</c:v>
                </c:pt>
                <c:pt idx="58">
                  <c:v>623.221495</c:v>
                </c:pt>
                <c:pt idx="59">
                  <c:v>622.58107</c:v>
                </c:pt>
                <c:pt idx="60">
                  <c:v>621.781728</c:v>
                </c:pt>
                <c:pt idx="61">
                  <c:v>620.881376</c:v>
                </c:pt>
                <c:pt idx="62">
                  <c:v>619.873252</c:v>
                </c:pt>
                <c:pt idx="63">
                  <c:v>618.710977</c:v>
                </c:pt>
                <c:pt idx="64">
                  <c:v>617.42336</c:v>
                </c:pt>
                <c:pt idx="65">
                  <c:v>615.962</c:v>
                </c:pt>
                <c:pt idx="66">
                  <c:v>614.326011</c:v>
                </c:pt>
                <c:pt idx="67">
                  <c:v>612.602575</c:v>
                </c:pt>
                <c:pt idx="68">
                  <c:v>610.782485</c:v>
                </c:pt>
                <c:pt idx="69">
                  <c:v>608.887107</c:v>
                </c:pt>
                <c:pt idx="70">
                  <c:v>606.962426</c:v>
                </c:pt>
                <c:pt idx="71">
                  <c:v>601.516084</c:v>
                </c:pt>
                <c:pt idx="72">
                  <c:v>603.677207</c:v>
                </c:pt>
                <c:pt idx="73">
                  <c:v>602.996674</c:v>
                </c:pt>
                <c:pt idx="74">
                  <c:v>602.798603</c:v>
                </c:pt>
                <c:pt idx="75">
                  <c:v>603.040435</c:v>
                </c:pt>
                <c:pt idx="76">
                  <c:v>603.646761</c:v>
                </c:pt>
                <c:pt idx="77">
                  <c:v>604.521314</c:v>
                </c:pt>
                <c:pt idx="78">
                  <c:v>605.296861</c:v>
                </c:pt>
                <c:pt idx="79">
                  <c:v>606.275584</c:v>
                </c:pt>
                <c:pt idx="80">
                  <c:v>607.211926</c:v>
                </c:pt>
                <c:pt idx="81">
                  <c:v>608.129632</c:v>
                </c:pt>
                <c:pt idx="82">
                  <c:v>609.210141</c:v>
                </c:pt>
                <c:pt idx="83">
                  <c:v>610.207072</c:v>
                </c:pt>
                <c:pt idx="84">
                  <c:v>611.527697</c:v>
                </c:pt>
                <c:pt idx="85">
                  <c:v>612.956555</c:v>
                </c:pt>
                <c:pt idx="86">
                  <c:v>614.332943</c:v>
                </c:pt>
                <c:pt idx="87">
                  <c:v>615.624057</c:v>
                </c:pt>
                <c:pt idx="88">
                  <c:v>616.858734</c:v>
                </c:pt>
                <c:pt idx="89">
                  <c:v>617.836151</c:v>
                </c:pt>
                <c:pt idx="90">
                  <c:v>618.602482</c:v>
                </c:pt>
                <c:pt idx="91">
                  <c:v>619.291053</c:v>
                </c:pt>
                <c:pt idx="92">
                  <c:v>619.746484</c:v>
                </c:pt>
                <c:pt idx="93">
                  <c:v>620.078376</c:v>
                </c:pt>
                <c:pt idx="94">
                  <c:v>620.248817</c:v>
                </c:pt>
                <c:pt idx="95">
                  <c:v>620.296182</c:v>
                </c:pt>
                <c:pt idx="96">
                  <c:v>620.374762</c:v>
                </c:pt>
                <c:pt idx="97">
                  <c:v>620.500528</c:v>
                </c:pt>
                <c:pt idx="98">
                  <c:v>620.622352</c:v>
                </c:pt>
                <c:pt idx="99">
                  <c:v>620.693906</c:v>
                </c:pt>
                <c:pt idx="100">
                  <c:v>620.811343</c:v>
                </c:pt>
                <c:pt idx="101">
                  <c:v>620.973839</c:v>
                </c:pt>
                <c:pt idx="102">
                  <c:v>621.180033</c:v>
                </c:pt>
                <c:pt idx="103">
                  <c:v>621.423665</c:v>
                </c:pt>
                <c:pt idx="104">
                  <c:v>621.739237</c:v>
                </c:pt>
                <c:pt idx="105">
                  <c:v>622.098624</c:v>
                </c:pt>
                <c:pt idx="106">
                  <c:v>622.500576</c:v>
                </c:pt>
                <c:pt idx="107">
                  <c:v>622.869381</c:v>
                </c:pt>
                <c:pt idx="108">
                  <c:v>623.220014</c:v>
                </c:pt>
                <c:pt idx="109">
                  <c:v>623.464643</c:v>
                </c:pt>
                <c:pt idx="110">
                  <c:v>623.683515</c:v>
                </c:pt>
                <c:pt idx="111">
                  <c:v>623.799494</c:v>
                </c:pt>
                <c:pt idx="112">
                  <c:v>623.756583</c:v>
                </c:pt>
                <c:pt idx="113">
                  <c:v>623.691457</c:v>
                </c:pt>
                <c:pt idx="114">
                  <c:v>623.536655</c:v>
                </c:pt>
                <c:pt idx="115">
                  <c:v>623.299113</c:v>
                </c:pt>
                <c:pt idx="116">
                  <c:v>622.970507</c:v>
                </c:pt>
                <c:pt idx="117">
                  <c:v>622.552449</c:v>
                </c:pt>
                <c:pt idx="118">
                  <c:v>622.053388</c:v>
                </c:pt>
                <c:pt idx="119">
                  <c:v>621.647074</c:v>
                </c:pt>
                <c:pt idx="120">
                  <c:v>621.209138</c:v>
                </c:pt>
                <c:pt idx="121">
                  <c:v>620.714907</c:v>
                </c:pt>
                <c:pt idx="122">
                  <c:v>620.220527</c:v>
                </c:pt>
                <c:pt idx="123">
                  <c:v>619.730282</c:v>
                </c:pt>
                <c:pt idx="124">
                  <c:v>619.227563</c:v>
                </c:pt>
                <c:pt idx="125">
                  <c:v>618.617035</c:v>
                </c:pt>
                <c:pt idx="126">
                  <c:v>617.963174</c:v>
                </c:pt>
                <c:pt idx="127">
                  <c:v>617.253462</c:v>
                </c:pt>
                <c:pt idx="128">
                  <c:v>616.425606</c:v>
                </c:pt>
                <c:pt idx="129">
                  <c:v>615.581086</c:v>
                </c:pt>
                <c:pt idx="130">
                  <c:v>614.887772</c:v>
                </c:pt>
                <c:pt idx="131">
                  <c:v>614.252496</c:v>
                </c:pt>
                <c:pt idx="132">
                  <c:v>613.731136</c:v>
                </c:pt>
                <c:pt idx="133">
                  <c:v>613.500752</c:v>
                </c:pt>
                <c:pt idx="134">
                  <c:v>613.3702</c:v>
                </c:pt>
                <c:pt idx="135">
                  <c:v>613.309012</c:v>
                </c:pt>
              </c:numCache>
            </c:numRef>
          </c:yVal>
          <c:smooth val="0"/>
        </c:ser>
        <c:ser>
          <c:idx val="5"/>
          <c:order val="2"/>
          <c:tx>
            <c:v>Gradeline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Detail!$C$2:$C$22</c:f>
              <c:numCache>
                <c:ptCount val="21"/>
                <c:pt idx="0">
                  <c:v>5715</c:v>
                </c:pt>
                <c:pt idx="1">
                  <c:v>5727.5</c:v>
                </c:pt>
                <c:pt idx="2">
                  <c:v>5740</c:v>
                </c:pt>
                <c:pt idx="3">
                  <c:v>5752.5</c:v>
                </c:pt>
                <c:pt idx="4">
                  <c:v>5765</c:v>
                </c:pt>
                <c:pt idx="5">
                  <c:v>5777.5</c:v>
                </c:pt>
                <c:pt idx="6">
                  <c:v>5790</c:v>
                </c:pt>
                <c:pt idx="7">
                  <c:v>5802.5</c:v>
                </c:pt>
                <c:pt idx="8">
                  <c:v>5815</c:v>
                </c:pt>
                <c:pt idx="9">
                  <c:v>5827.5</c:v>
                </c:pt>
                <c:pt idx="10">
                  <c:v>5840</c:v>
                </c:pt>
                <c:pt idx="11">
                  <c:v>5852.5</c:v>
                </c:pt>
                <c:pt idx="12">
                  <c:v>5865</c:v>
                </c:pt>
                <c:pt idx="13">
                  <c:v>5877.5</c:v>
                </c:pt>
                <c:pt idx="14">
                  <c:v>5890</c:v>
                </c:pt>
                <c:pt idx="15">
                  <c:v>5902.5</c:v>
                </c:pt>
                <c:pt idx="16">
                  <c:v>5915</c:v>
                </c:pt>
                <c:pt idx="17">
                  <c:v>5927.5</c:v>
                </c:pt>
                <c:pt idx="18">
                  <c:v>5940</c:v>
                </c:pt>
                <c:pt idx="19">
                  <c:v>5952.5</c:v>
                </c:pt>
                <c:pt idx="20">
                  <c:v>5965</c:v>
                </c:pt>
              </c:numCache>
            </c:numRef>
          </c:xVal>
          <c:yVal>
            <c:numRef>
              <c:f>Detail!$D$2:$D$22</c:f>
              <c:numCache>
                <c:ptCount val="21"/>
                <c:pt idx="0">
                  <c:v>623.268516566265</c:v>
                </c:pt>
                <c:pt idx="1">
                  <c:v>622.9608858719336</c:v>
                </c:pt>
                <c:pt idx="2">
                  <c:v>622.6356971021924</c:v>
                </c:pt>
                <c:pt idx="3">
                  <c:v>622.2929502570412</c:v>
                </c:pt>
                <c:pt idx="4">
                  <c:v>621.9326453364802</c:v>
                </c:pt>
                <c:pt idx="5">
                  <c:v>621.5547823405093</c:v>
                </c:pt>
                <c:pt idx="6">
                  <c:v>621.1593612691287</c:v>
                </c:pt>
                <c:pt idx="7">
                  <c:v>620.746382122338</c:v>
                </c:pt>
                <c:pt idx="8">
                  <c:v>620.3158449001376</c:v>
                </c:pt>
                <c:pt idx="9">
                  <c:v>619.8677496025274</c:v>
                </c:pt>
                <c:pt idx="10">
                  <c:v>619.4020962295073</c:v>
                </c:pt>
                <c:pt idx="11">
                  <c:v>618.9188847810773</c:v>
                </c:pt>
                <c:pt idx="12">
                  <c:v>618.4181152572373</c:v>
                </c:pt>
                <c:pt idx="13">
                  <c:v>617.8997876579878</c:v>
                </c:pt>
                <c:pt idx="14">
                  <c:v>617.3639019833282</c:v>
                </c:pt>
                <c:pt idx="15">
                  <c:v>616.8104582332588</c:v>
                </c:pt>
                <c:pt idx="16">
                  <c:v>616.2394564077796</c:v>
                </c:pt>
                <c:pt idx="17">
                  <c:v>615.6508965068905</c:v>
                </c:pt>
                <c:pt idx="18">
                  <c:v>615.0447785305915</c:v>
                </c:pt>
                <c:pt idx="19">
                  <c:v>614.4211024788826</c:v>
                </c:pt>
                <c:pt idx="20">
                  <c:v>613.7798683517641</c:v>
                </c:pt>
              </c:numCache>
            </c:numRef>
          </c:yVal>
          <c:smooth val="0"/>
        </c:ser>
        <c:ser>
          <c:idx val="3"/>
          <c:order val="3"/>
          <c:tx>
            <c:v>Bridge Fills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 Calcs'!$B$10:$B$11</c:f>
              <c:numCache>
                <c:ptCount val="2"/>
                <c:pt idx="0">
                  <c:v>6120.046318843101</c:v>
                </c:pt>
                <c:pt idx="1">
                  <c:v>6133.01</c:v>
                </c:pt>
              </c:numCache>
            </c:numRef>
          </c:xVal>
          <c:yVal>
            <c:numRef>
              <c:f>'Temp Calcs'!$C$10:$C$11</c:f>
              <c:numCache>
                <c:ptCount val="2"/>
                <c:pt idx="0">
                  <c:v>606.0995042383425</c:v>
                </c:pt>
                <c:pt idx="1">
                  <c:v>599.64</c:v>
                </c:pt>
              </c:numCache>
            </c:numRef>
          </c:yVal>
          <c:smooth val="0"/>
        </c:ser>
        <c:ser>
          <c:idx val="1"/>
          <c:order val="4"/>
          <c:tx>
            <c:v>Bridge Fills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 Calcs'!$I$10:$I$11</c:f>
              <c:numCache>
                <c:ptCount val="2"/>
                <c:pt idx="0">
                  <c:v>6145.01</c:v>
                </c:pt>
                <c:pt idx="1">
                  <c:v>6155.64885314304</c:v>
                </c:pt>
              </c:numCache>
            </c:numRef>
          </c:xVal>
          <c:yVal>
            <c:numRef>
              <c:f>'Temp Calcs'!$J$10:$J$11</c:f>
              <c:numCache>
                <c:ptCount val="2"/>
                <c:pt idx="0">
                  <c:v>599.64</c:v>
                </c:pt>
                <c:pt idx="1">
                  <c:v>604.9791035674072</c:v>
                </c:pt>
              </c:numCache>
            </c:numRef>
          </c:yVal>
          <c:smooth val="0"/>
        </c:ser>
        <c:ser>
          <c:idx val="0"/>
          <c:order val="5"/>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Detail!$C$23:$C$43</c:f>
              <c:numCache>
                <c:ptCount val="21"/>
                <c:pt idx="0">
                  <c:v>6069.8</c:v>
                </c:pt>
                <c:pt idx="1">
                  <c:v>6084.8</c:v>
                </c:pt>
                <c:pt idx="2">
                  <c:v>6099.8</c:v>
                </c:pt>
                <c:pt idx="3">
                  <c:v>6114.8</c:v>
                </c:pt>
                <c:pt idx="4">
                  <c:v>6129.8</c:v>
                </c:pt>
                <c:pt idx="5">
                  <c:v>6144.8</c:v>
                </c:pt>
                <c:pt idx="6">
                  <c:v>6159.8</c:v>
                </c:pt>
                <c:pt idx="7">
                  <c:v>6174.8</c:v>
                </c:pt>
                <c:pt idx="8">
                  <c:v>6189.8</c:v>
                </c:pt>
                <c:pt idx="9">
                  <c:v>6204.8</c:v>
                </c:pt>
                <c:pt idx="10">
                  <c:v>6219.8</c:v>
                </c:pt>
                <c:pt idx="11">
                  <c:v>6234.8</c:v>
                </c:pt>
                <c:pt idx="12">
                  <c:v>6249.8</c:v>
                </c:pt>
                <c:pt idx="13">
                  <c:v>6264.8</c:v>
                </c:pt>
                <c:pt idx="14">
                  <c:v>6279.8</c:v>
                </c:pt>
                <c:pt idx="15">
                  <c:v>6294.8</c:v>
                </c:pt>
                <c:pt idx="16">
                  <c:v>6309.8</c:v>
                </c:pt>
                <c:pt idx="17">
                  <c:v>6324.8</c:v>
                </c:pt>
                <c:pt idx="18">
                  <c:v>6339.8</c:v>
                </c:pt>
                <c:pt idx="19">
                  <c:v>6354.8</c:v>
                </c:pt>
                <c:pt idx="20">
                  <c:v>6369.8</c:v>
                </c:pt>
              </c:numCache>
            </c:numRef>
          </c:xVal>
          <c:yVal>
            <c:numRef>
              <c:f>Detail!$D$23:$D$43</c:f>
              <c:numCache>
                <c:ptCount val="21"/>
                <c:pt idx="0">
                  <c:v>608.3301579778831</c:v>
                </c:pt>
                <c:pt idx="1">
                  <c:v>607.5840910622092</c:v>
                </c:pt>
                <c:pt idx="2">
                  <c:v>606.9059219107639</c:v>
                </c:pt>
                <c:pt idx="3">
                  <c:v>606.2956505235476</c:v>
                </c:pt>
                <c:pt idx="4">
                  <c:v>605.7532769005599</c:v>
                </c:pt>
                <c:pt idx="5">
                  <c:v>605.2788010418009</c:v>
                </c:pt>
                <c:pt idx="6">
                  <c:v>604.8722229472706</c:v>
                </c:pt>
                <c:pt idx="7">
                  <c:v>604.5335426169694</c:v>
                </c:pt>
                <c:pt idx="8">
                  <c:v>604.2627600508966</c:v>
                </c:pt>
                <c:pt idx="9">
                  <c:v>604.0598752490527</c:v>
                </c:pt>
                <c:pt idx="10">
                  <c:v>603.9248882114374</c:v>
                </c:pt>
                <c:pt idx="11">
                  <c:v>603.857798938051</c:v>
                </c:pt>
                <c:pt idx="12">
                  <c:v>603.8586074288934</c:v>
                </c:pt>
                <c:pt idx="13">
                  <c:v>603.9273136839644</c:v>
                </c:pt>
                <c:pt idx="14">
                  <c:v>604.0639177032641</c:v>
                </c:pt>
                <c:pt idx="15">
                  <c:v>604.2684194867928</c:v>
                </c:pt>
                <c:pt idx="16">
                  <c:v>604.54081903455</c:v>
                </c:pt>
                <c:pt idx="17">
                  <c:v>604.881116346536</c:v>
                </c:pt>
                <c:pt idx="18">
                  <c:v>605.2893114227509</c:v>
                </c:pt>
                <c:pt idx="19">
                  <c:v>605.7654042631945</c:v>
                </c:pt>
                <c:pt idx="20">
                  <c:v>606.3093948678667</c:v>
                </c:pt>
              </c:numCache>
            </c:numRef>
          </c:yVal>
          <c:smooth val="0"/>
        </c:ser>
        <c:ser>
          <c:idx val="6"/>
          <c:order val="6"/>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Detail!$C$44:$C$64</c:f>
              <c:numCache>
                <c:ptCount val="21"/>
                <c:pt idx="0">
                  <c:v>6592</c:v>
                </c:pt>
                <c:pt idx="1">
                  <c:v>6607</c:v>
                </c:pt>
                <c:pt idx="2">
                  <c:v>6622</c:v>
                </c:pt>
                <c:pt idx="3">
                  <c:v>6637</c:v>
                </c:pt>
                <c:pt idx="4">
                  <c:v>6652</c:v>
                </c:pt>
                <c:pt idx="5">
                  <c:v>6667</c:v>
                </c:pt>
                <c:pt idx="6">
                  <c:v>6682</c:v>
                </c:pt>
                <c:pt idx="7">
                  <c:v>6697</c:v>
                </c:pt>
                <c:pt idx="8">
                  <c:v>6712</c:v>
                </c:pt>
                <c:pt idx="9">
                  <c:v>6727</c:v>
                </c:pt>
                <c:pt idx="10">
                  <c:v>6742</c:v>
                </c:pt>
                <c:pt idx="11">
                  <c:v>6757</c:v>
                </c:pt>
                <c:pt idx="12">
                  <c:v>6772</c:v>
                </c:pt>
                <c:pt idx="13">
                  <c:v>6787</c:v>
                </c:pt>
                <c:pt idx="14">
                  <c:v>6802</c:v>
                </c:pt>
                <c:pt idx="15">
                  <c:v>6817</c:v>
                </c:pt>
                <c:pt idx="16">
                  <c:v>6832</c:v>
                </c:pt>
                <c:pt idx="17">
                  <c:v>6847</c:v>
                </c:pt>
                <c:pt idx="18">
                  <c:v>6862</c:v>
                </c:pt>
                <c:pt idx="19">
                  <c:v>6877</c:v>
                </c:pt>
                <c:pt idx="20">
                  <c:v>6892</c:v>
                </c:pt>
              </c:numCache>
            </c:numRef>
          </c:xVal>
          <c:yVal>
            <c:numRef>
              <c:f>Detail!$D$44:$D$64</c:f>
              <c:numCache>
                <c:ptCount val="21"/>
                <c:pt idx="0">
                  <c:v>614.8706051321333</c:v>
                </c:pt>
                <c:pt idx="1">
                  <c:v>615.4361471749694</c:v>
                </c:pt>
                <c:pt idx="2">
                  <c:v>615.9768943299042</c:v>
                </c:pt>
                <c:pt idx="3">
                  <c:v>616.492846596938</c:v>
                </c:pt>
                <c:pt idx="4">
                  <c:v>616.9840039760705</c:v>
                </c:pt>
                <c:pt idx="5">
                  <c:v>617.4503664673019</c:v>
                </c:pt>
                <c:pt idx="6">
                  <c:v>617.891934070632</c:v>
                </c:pt>
                <c:pt idx="7">
                  <c:v>618.3087067860611</c:v>
                </c:pt>
                <c:pt idx="8">
                  <c:v>618.7006846135889</c:v>
                </c:pt>
                <c:pt idx="9">
                  <c:v>619.0678675532155</c:v>
                </c:pt>
                <c:pt idx="10">
                  <c:v>619.4102556049409</c:v>
                </c:pt>
                <c:pt idx="11">
                  <c:v>619.7278487687652</c:v>
                </c:pt>
                <c:pt idx="12">
                  <c:v>620.0206470446883</c:v>
                </c:pt>
                <c:pt idx="13">
                  <c:v>620.2886504327101</c:v>
                </c:pt>
                <c:pt idx="14">
                  <c:v>620.5318589328309</c:v>
                </c:pt>
                <c:pt idx="15">
                  <c:v>620.7502725450505</c:v>
                </c:pt>
                <c:pt idx="16">
                  <c:v>620.9438912693688</c:v>
                </c:pt>
                <c:pt idx="17">
                  <c:v>621.1127151057859</c:v>
                </c:pt>
                <c:pt idx="18">
                  <c:v>621.256744054302</c:v>
                </c:pt>
                <c:pt idx="19">
                  <c:v>621.3759781149168</c:v>
                </c:pt>
                <c:pt idx="20">
                  <c:v>621.4704172876304</c:v>
                </c:pt>
              </c:numCache>
            </c:numRef>
          </c:yVal>
          <c:smooth val="0"/>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Detail!$C$65:$C$85</c:f>
              <c:numCache>
                <c:ptCount val="21"/>
                <c:pt idx="0">
                  <c:v>7300.5</c:v>
                </c:pt>
                <c:pt idx="1">
                  <c:v>7311.75</c:v>
                </c:pt>
                <c:pt idx="2">
                  <c:v>7323</c:v>
                </c:pt>
                <c:pt idx="3">
                  <c:v>7334.25</c:v>
                </c:pt>
                <c:pt idx="4">
                  <c:v>7345.5</c:v>
                </c:pt>
                <c:pt idx="5">
                  <c:v>7356.75</c:v>
                </c:pt>
                <c:pt idx="6">
                  <c:v>7368</c:v>
                </c:pt>
                <c:pt idx="7">
                  <c:v>7379.25</c:v>
                </c:pt>
                <c:pt idx="8">
                  <c:v>7390.5</c:v>
                </c:pt>
                <c:pt idx="9">
                  <c:v>7401.75</c:v>
                </c:pt>
                <c:pt idx="10">
                  <c:v>7413</c:v>
                </c:pt>
                <c:pt idx="11">
                  <c:v>7424.25</c:v>
                </c:pt>
                <c:pt idx="12">
                  <c:v>7435.5</c:v>
                </c:pt>
                <c:pt idx="13">
                  <c:v>7446.75</c:v>
                </c:pt>
                <c:pt idx="14">
                  <c:v>7458</c:v>
                </c:pt>
                <c:pt idx="15">
                  <c:v>7469.25</c:v>
                </c:pt>
                <c:pt idx="16">
                  <c:v>7480.5</c:v>
                </c:pt>
                <c:pt idx="17">
                  <c:v>7491.75</c:v>
                </c:pt>
                <c:pt idx="18">
                  <c:v>7503</c:v>
                </c:pt>
                <c:pt idx="19">
                  <c:v>7514.25</c:v>
                </c:pt>
                <c:pt idx="20">
                  <c:v>7525.5</c:v>
                </c:pt>
              </c:numCache>
            </c:numRef>
          </c:xVal>
          <c:yVal>
            <c:numRef>
              <c:f>Detail!$D$65:$D$85</c:f>
              <c:numCache>
                <c:ptCount val="21"/>
                <c:pt idx="0">
                  <c:v>623.7046870342772</c:v>
                </c:pt>
                <c:pt idx="1">
                  <c:v>623.759140887753</c:v>
                </c:pt>
                <c:pt idx="2">
                  <c:v>623.7994398550356</c:v>
                </c:pt>
                <c:pt idx="3">
                  <c:v>623.8255839361253</c:v>
                </c:pt>
                <c:pt idx="4">
                  <c:v>623.8375731310217</c:v>
                </c:pt>
                <c:pt idx="5">
                  <c:v>623.8354074397253</c:v>
                </c:pt>
                <c:pt idx="6">
                  <c:v>623.8190868622356</c:v>
                </c:pt>
                <c:pt idx="7">
                  <c:v>623.788611398553</c:v>
                </c:pt>
                <c:pt idx="8">
                  <c:v>623.7439810486774</c:v>
                </c:pt>
                <c:pt idx="9">
                  <c:v>623.6851958126085</c:v>
                </c:pt>
                <c:pt idx="10">
                  <c:v>623.6122556903467</c:v>
                </c:pt>
                <c:pt idx="11">
                  <c:v>623.5251606818917</c:v>
                </c:pt>
                <c:pt idx="12">
                  <c:v>623.4239107872437</c:v>
                </c:pt>
                <c:pt idx="13">
                  <c:v>623.3085060064027</c:v>
                </c:pt>
                <c:pt idx="14">
                  <c:v>623.1789463393686</c:v>
                </c:pt>
                <c:pt idx="15">
                  <c:v>623.0352317861415</c:v>
                </c:pt>
                <c:pt idx="16">
                  <c:v>622.8773623467212</c:v>
                </c:pt>
                <c:pt idx="17">
                  <c:v>622.7053380211079</c:v>
                </c:pt>
                <c:pt idx="18">
                  <c:v>622.5191588093014</c:v>
                </c:pt>
                <c:pt idx="19">
                  <c:v>622.318824711302</c:v>
                </c:pt>
                <c:pt idx="20">
                  <c:v>622.1043357271095</c:v>
                </c:pt>
              </c:numCache>
            </c:numRef>
          </c:yVal>
          <c:smooth val="0"/>
        </c:ser>
        <c:ser>
          <c:idx val="8"/>
          <c:order val="8"/>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Detail!$C$86:$C$106</c:f>
              <c:numCache>
                <c:ptCount val="21"/>
                <c:pt idx="0">
                  <c:v>7932.5</c:v>
                </c:pt>
                <c:pt idx="1">
                  <c:v>7936.25</c:v>
                </c:pt>
                <c:pt idx="2">
                  <c:v>7940</c:v>
                </c:pt>
                <c:pt idx="3">
                  <c:v>7943.75</c:v>
                </c:pt>
                <c:pt idx="4">
                  <c:v>7947.5</c:v>
                </c:pt>
                <c:pt idx="5">
                  <c:v>7951.25</c:v>
                </c:pt>
                <c:pt idx="6">
                  <c:v>7955</c:v>
                </c:pt>
                <c:pt idx="7">
                  <c:v>7958.75</c:v>
                </c:pt>
                <c:pt idx="8">
                  <c:v>7962.5</c:v>
                </c:pt>
                <c:pt idx="9">
                  <c:v>7966.25</c:v>
                </c:pt>
                <c:pt idx="10">
                  <c:v>7970</c:v>
                </c:pt>
                <c:pt idx="11">
                  <c:v>7973.75</c:v>
                </c:pt>
                <c:pt idx="12">
                  <c:v>7977.5</c:v>
                </c:pt>
                <c:pt idx="13">
                  <c:v>7981.25</c:v>
                </c:pt>
                <c:pt idx="14">
                  <c:v>7985</c:v>
                </c:pt>
                <c:pt idx="15">
                  <c:v>7988.75</c:v>
                </c:pt>
                <c:pt idx="16">
                  <c:v>7992.5</c:v>
                </c:pt>
                <c:pt idx="17">
                  <c:v>7996.25</c:v>
                </c:pt>
                <c:pt idx="18">
                  <c:v>8000</c:v>
                </c:pt>
                <c:pt idx="19">
                  <c:v>8003.75</c:v>
                </c:pt>
                <c:pt idx="20">
                  <c:v>8007.5</c:v>
                </c:pt>
              </c:numCache>
            </c:numRef>
          </c:xVal>
          <c:yVal>
            <c:numRef>
              <c:f>Detail!$D$86:$D$106</c:f>
              <c:numCache>
                <c:ptCount val="21"/>
                <c:pt idx="0">
                  <c:v>614.0885547576302</c:v>
                </c:pt>
                <c:pt idx="1">
                  <c:v>614.0164922668624</c:v>
                </c:pt>
                <c:pt idx="2">
                  <c:v>613.9480157460855</c:v>
                </c:pt>
                <c:pt idx="3">
                  <c:v>613.8831251952992</c:v>
                </c:pt>
                <c:pt idx="4">
                  <c:v>613.8218206145035</c:v>
                </c:pt>
                <c:pt idx="5">
                  <c:v>613.7641020036986</c:v>
                </c:pt>
                <c:pt idx="6">
                  <c:v>613.7099693628843</c:v>
                </c:pt>
                <c:pt idx="7">
                  <c:v>613.6594226920608</c:v>
                </c:pt>
                <c:pt idx="8">
                  <c:v>613.6124619912279</c:v>
                </c:pt>
                <c:pt idx="9">
                  <c:v>613.5690872603857</c:v>
                </c:pt>
                <c:pt idx="10">
                  <c:v>613.5292984995341</c:v>
                </c:pt>
                <c:pt idx="11">
                  <c:v>613.4930957086733</c:v>
                </c:pt>
                <c:pt idx="12">
                  <c:v>613.4604788878031</c:v>
                </c:pt>
                <c:pt idx="13">
                  <c:v>613.4314480369236</c:v>
                </c:pt>
                <c:pt idx="14">
                  <c:v>613.4060031560348</c:v>
                </c:pt>
                <c:pt idx="15">
                  <c:v>613.3841442451367</c:v>
                </c:pt>
                <c:pt idx="16">
                  <c:v>613.3658713042292</c:v>
                </c:pt>
                <c:pt idx="17">
                  <c:v>613.3511843333124</c:v>
                </c:pt>
                <c:pt idx="18">
                  <c:v>613.3400833323864</c:v>
                </c:pt>
                <c:pt idx="19">
                  <c:v>613.332568301451</c:v>
                </c:pt>
                <c:pt idx="20">
                  <c:v>613.3286392405064</c:v>
                </c:pt>
              </c:numCache>
            </c:numRef>
          </c:yVal>
          <c:smooth val="0"/>
        </c:ser>
        <c:ser>
          <c:idx val="9"/>
          <c:order val="9"/>
          <c:tx>
            <c:v>Existing Gradeline</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Ground!#REF!</c:f>
              <c:strCache>
                <c:ptCount val="1"/>
                <c:pt idx="0">
                  <c:v>1</c:v>
                </c:pt>
              </c:strCache>
            </c:strRef>
          </c:xVal>
          <c:yVal>
            <c:numRef>
              <c:f>Ground!$E$42:$E$142</c:f>
              <c:numCache>
                <c:ptCount val="101"/>
              </c:numCache>
            </c:numRef>
          </c:yVal>
          <c:smooth val="0"/>
        </c:ser>
        <c:axId val="22659346"/>
        <c:axId val="2607523"/>
      </c:scatterChart>
      <c:valAx>
        <c:axId val="22659346"/>
        <c:scaling>
          <c:orientation val="minMax"/>
          <c:max val="6200"/>
          <c:min val="6100"/>
        </c:scaling>
        <c:axPos val="b"/>
        <c:title>
          <c:tx>
            <c:rich>
              <a:bodyPr vert="horz" rot="0" anchor="ctr"/>
              <a:lstStyle/>
              <a:p>
                <a:pPr algn="ctr">
                  <a:defRPr/>
                </a:pPr>
                <a:r>
                  <a:rPr lang="en-US" cap="none" sz="1400" b="1" i="0" u="none" baseline="0">
                    <a:latin typeface="Arial"/>
                    <a:ea typeface="Arial"/>
                    <a:cs typeface="Arial"/>
                  </a:rPr>
                  <a:t>Station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607523"/>
        <c:crosses val="autoZero"/>
        <c:crossBetween val="midCat"/>
        <c:dispUnits/>
      </c:valAx>
      <c:valAx>
        <c:axId val="2607523"/>
        <c:scaling>
          <c:orientation val="minMax"/>
          <c:max val="610"/>
        </c:scaling>
        <c:axPos val="l"/>
        <c:title>
          <c:tx>
            <c:rich>
              <a:bodyPr vert="horz" rot="-5400000" anchor="ctr"/>
              <a:lstStyle/>
              <a:p>
                <a:pPr algn="ctr">
                  <a:defRPr/>
                </a:pPr>
                <a:r>
                  <a:rPr lang="en-US" cap="none" sz="1400" b="1" i="0" u="none" baseline="0">
                    <a:latin typeface="Arial"/>
                    <a:ea typeface="Arial"/>
                    <a:cs typeface="Arial"/>
                  </a:rPr>
                  <a:t>Elevation (m)</a:t>
                </a:r>
              </a:p>
            </c:rich>
          </c:tx>
          <c:layout/>
          <c:overlay val="0"/>
          <c:spPr>
            <a:noFill/>
            <a:ln>
              <a:noFill/>
            </a:ln>
          </c:spPr>
        </c:title>
        <c:majorGridlines/>
        <c:delete val="0"/>
        <c:numFmt formatCode="0.0" sourceLinked="0"/>
        <c:majorTickMark val="out"/>
        <c:minorTickMark val="none"/>
        <c:tickLblPos val="nextTo"/>
        <c:txPr>
          <a:bodyPr/>
          <a:lstStyle/>
          <a:p>
            <a:pPr>
              <a:defRPr lang="en-US" cap="none" sz="1200" b="0" i="0" u="none" baseline="0">
                <a:latin typeface="Arial"/>
                <a:ea typeface="Arial"/>
                <a:cs typeface="Arial"/>
              </a:defRPr>
            </a:pPr>
          </a:p>
        </c:txPr>
        <c:crossAx val="22659346"/>
        <c:crosses val="autoZero"/>
        <c:crossBetween val="midCat"/>
        <c:dispUnits/>
      </c:valAx>
      <c:spPr>
        <a:noFill/>
        <a:ln w="25400">
          <a:solid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68125"/>
          <c:y val="0.167"/>
          <c:w val="0.17175"/>
          <c:h val="0.16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3"/>
  <sheetViews>
    <sheetView workbookViewId="0" zoomScale="13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Scale="13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41"/>
  <dimension ref="B3:B16"/>
  <sheetViews>
    <sheetView workbookViewId="0" topLeftCell="A1">
      <selection activeCell="B7" sqref="B7"/>
    </sheetView>
  </sheetViews>
  <sheetFormatPr defaultColWidth="9.140625" defaultRowHeight="12.75"/>
  <cols>
    <col min="2" max="2" width="93.57421875" style="0" customWidth="1"/>
  </cols>
  <sheetData>
    <row r="3" ht="26.25">
      <c r="B3" s="9" t="s">
        <v>24</v>
      </c>
    </row>
    <row r="5" ht="18">
      <c r="B5" s="10" t="s">
        <v>92</v>
      </c>
    </row>
    <row r="7" s="12" customFormat="1" ht="12.75">
      <c r="B7" s="11" t="s">
        <v>93</v>
      </c>
    </row>
    <row r="9" ht="12.75">
      <c r="B9" t="s">
        <v>25</v>
      </c>
    </row>
    <row r="11" ht="12.75">
      <c r="B11" s="39" t="s">
        <v>87</v>
      </c>
    </row>
    <row r="12" ht="12.75">
      <c r="B12" s="13" t="s">
        <v>88</v>
      </c>
    </row>
    <row r="13" ht="12.75">
      <c r="B13" s="13" t="s">
        <v>89</v>
      </c>
    </row>
    <row r="14" ht="12.75">
      <c r="B14" s="13" t="s">
        <v>90</v>
      </c>
    </row>
    <row r="15" ht="12.75">
      <c r="B15" s="13" t="s">
        <v>94</v>
      </c>
    </row>
    <row r="16" ht="12.75">
      <c r="B16" s="1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1"/>
  <dimension ref="A2:B12"/>
  <sheetViews>
    <sheetView workbookViewId="0" topLeftCell="A1">
      <selection activeCell="B2" sqref="B2"/>
    </sheetView>
  </sheetViews>
  <sheetFormatPr defaultColWidth="9.140625" defaultRowHeight="12.75"/>
  <cols>
    <col min="1" max="1" width="9.140625" style="17" customWidth="1"/>
    <col min="2" max="2" width="109.28125" style="17" customWidth="1"/>
    <col min="3" max="16384" width="9.140625" style="17" customWidth="1"/>
  </cols>
  <sheetData>
    <row r="2" spans="1:2" s="16" customFormat="1" ht="25.5">
      <c r="A2" s="14">
        <v>1</v>
      </c>
      <c r="B2" s="15" t="s">
        <v>30</v>
      </c>
    </row>
    <row r="3" spans="1:2" s="16" customFormat="1" ht="12.75">
      <c r="A3" s="14"/>
      <c r="B3" s="15"/>
    </row>
    <row r="4" spans="1:2" s="16" customFormat="1" ht="51">
      <c r="A4" s="14">
        <v>2</v>
      </c>
      <c r="B4" s="15" t="s">
        <v>53</v>
      </c>
    </row>
    <row r="5" spans="1:2" s="16" customFormat="1" ht="12.75">
      <c r="A5" s="14"/>
      <c r="B5" s="15"/>
    </row>
    <row r="6" spans="1:2" s="16" customFormat="1" ht="25.5">
      <c r="A6" s="14">
        <v>3</v>
      </c>
      <c r="B6" s="15" t="s">
        <v>83</v>
      </c>
    </row>
    <row r="7" spans="1:2" s="16" customFormat="1" ht="12.75">
      <c r="A7" s="14"/>
      <c r="B7" s="15"/>
    </row>
    <row r="8" spans="1:2" s="16" customFormat="1" ht="127.5">
      <c r="A8" s="14">
        <v>4</v>
      </c>
      <c r="B8" s="15" t="s">
        <v>54</v>
      </c>
    </row>
    <row r="10" spans="1:2" ht="12.75">
      <c r="A10" s="34">
        <v>5</v>
      </c>
      <c r="B10" s="17" t="s">
        <v>31</v>
      </c>
    </row>
    <row r="12" spans="1:2" ht="89.25">
      <c r="A12" s="36">
        <v>6</v>
      </c>
      <c r="B12" s="35" t="s">
        <v>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2:S45"/>
  <sheetViews>
    <sheetView tabSelected="1" workbookViewId="0" topLeftCell="A1">
      <selection activeCell="J8" sqref="J8"/>
    </sheetView>
  </sheetViews>
  <sheetFormatPr defaultColWidth="9.140625" defaultRowHeight="12.75"/>
  <cols>
    <col min="1" max="1" width="12.421875" style="0" customWidth="1"/>
    <col min="2" max="2" width="18.00390625" style="0" bestFit="1" customWidth="1"/>
    <col min="3" max="3" width="12.7109375" style="1" customWidth="1"/>
    <col min="4" max="4" width="10.28125" style="1" customWidth="1"/>
    <col min="5" max="5" width="10.8515625" style="1" bestFit="1" customWidth="1"/>
    <col min="6" max="6" width="10.140625" style="1" customWidth="1"/>
    <col min="7" max="7" width="10.57421875" style="1" customWidth="1"/>
    <col min="9" max="9" width="3.00390625" style="0" customWidth="1"/>
    <col min="11" max="11" width="10.57421875" style="0" customWidth="1"/>
    <col min="12" max="12" width="12.28125" style="0" customWidth="1"/>
    <col min="13" max="13" width="11.8515625" style="0" customWidth="1"/>
    <col min="15" max="15" width="10.28125" style="0" bestFit="1" customWidth="1"/>
    <col min="16" max="16" width="9.8515625" style="0" bestFit="1" customWidth="1"/>
  </cols>
  <sheetData>
    <row r="1" ht="12.75"/>
    <row r="2" spans="2:13" ht="15.75">
      <c r="B2" s="19" t="s">
        <v>55</v>
      </c>
      <c r="C2" s="19" t="s">
        <v>1</v>
      </c>
      <c r="D2" s="19" t="s">
        <v>2</v>
      </c>
      <c r="E2" s="19" t="s">
        <v>3</v>
      </c>
      <c r="F2" s="19" t="s">
        <v>4</v>
      </c>
      <c r="G2" s="19" t="s">
        <v>5</v>
      </c>
      <c r="H2" s="19" t="s">
        <v>32</v>
      </c>
      <c r="I2" s="20"/>
      <c r="J2" s="19" t="s">
        <v>6</v>
      </c>
      <c r="K2" s="19" t="s">
        <v>84</v>
      </c>
      <c r="L2" s="19" t="s">
        <v>33</v>
      </c>
      <c r="M2" s="19" t="s">
        <v>34</v>
      </c>
    </row>
    <row r="3" spans="1:11" ht="15.75">
      <c r="A3" s="19" t="s">
        <v>49</v>
      </c>
      <c r="B3" s="19" t="s">
        <v>7</v>
      </c>
      <c r="C3" s="21">
        <v>4512</v>
      </c>
      <c r="D3" s="22">
        <v>652.03</v>
      </c>
      <c r="E3" s="23">
        <f aca="true" t="shared" si="0" ref="E3:E8">(D4-D3)/(C4-C3)*100</f>
        <v>-2.3908132530120483</v>
      </c>
      <c r="F3" s="19"/>
      <c r="G3" s="19"/>
      <c r="H3" s="20"/>
      <c r="I3" s="20"/>
      <c r="J3" s="20"/>
      <c r="K3" s="20"/>
    </row>
    <row r="4" spans="2:13" ht="15.75">
      <c r="B4" s="19" t="s">
        <v>8</v>
      </c>
      <c r="C4" s="21">
        <v>5840</v>
      </c>
      <c r="D4" s="22">
        <v>620.28</v>
      </c>
      <c r="E4" s="23">
        <f t="shared" si="0"/>
        <v>-5.2001053185887285</v>
      </c>
      <c r="F4" s="21">
        <v>250</v>
      </c>
      <c r="G4" s="24">
        <f>F4/ABS(E4-E3)</f>
        <v>88.99039123177853</v>
      </c>
      <c r="H4" s="19" t="str">
        <f>IF(E4&gt;E3,"Sag","Crest")</f>
        <v>Crest</v>
      </c>
      <c r="J4" s="25">
        <f>2*(L5-C4)</f>
        <v>459.60000000000036</v>
      </c>
      <c r="K4" s="38" t="str">
        <f>IF(F4&gt;J4,"****","OK")</f>
        <v>OK</v>
      </c>
      <c r="L4" s="33">
        <f>C4-F4/2</f>
        <v>5715</v>
      </c>
      <c r="M4" s="33">
        <f>C4+F4/2</f>
        <v>5965</v>
      </c>
    </row>
    <row r="5" spans="2:13" ht="15.75">
      <c r="B5" s="19" t="s">
        <v>9</v>
      </c>
      <c r="C5" s="21">
        <v>6219.8</v>
      </c>
      <c r="D5" s="22">
        <v>600.53</v>
      </c>
      <c r="E5" s="23">
        <f t="shared" si="0"/>
        <v>3.8529299119111475</v>
      </c>
      <c r="F5" s="21">
        <v>300</v>
      </c>
      <c r="G5" s="24">
        <f>F5/ABS(E5-E4)</f>
        <v>33.13805727711004</v>
      </c>
      <c r="H5" s="19" t="str">
        <f>IF(E5&gt;E4,"Sag","Crest")</f>
        <v>Sag</v>
      </c>
      <c r="J5" s="25">
        <f>MIN(C5-M4,L6-C5)*2</f>
        <v>509.60000000000036</v>
      </c>
      <c r="K5" s="38" t="str">
        <f>IF(F5&gt;J5,"****","OK")</f>
        <v>OK</v>
      </c>
      <c r="L5" s="33">
        <f>C5-F5/2</f>
        <v>6069.8</v>
      </c>
      <c r="M5" s="33">
        <f>C5+F5/2</f>
        <v>6369.8</v>
      </c>
    </row>
    <row r="6" spans="2:13" ht="15.75">
      <c r="B6" s="19" t="s">
        <v>10</v>
      </c>
      <c r="C6" s="21">
        <v>6742</v>
      </c>
      <c r="D6" s="22">
        <v>620.65</v>
      </c>
      <c r="E6" s="23">
        <f t="shared" si="0"/>
        <v>0.5469448584202791</v>
      </c>
      <c r="F6" s="21">
        <v>300</v>
      </c>
      <c r="G6" s="24">
        <f>F6/ABS(E6-E5)</f>
        <v>90.74451189161393</v>
      </c>
      <c r="H6" s="19" t="str">
        <f>IF(E6&gt;E5,"Sag","Crest")</f>
        <v>Crest</v>
      </c>
      <c r="J6" s="25">
        <f>MIN(C6-M5,L7-C6)*2</f>
        <v>744.3999999999996</v>
      </c>
      <c r="K6" s="38" t="str">
        <f>IF(F6&gt;J6,"****","OK")</f>
        <v>OK</v>
      </c>
      <c r="L6" s="33">
        <f>C6-F6/2</f>
        <v>6592</v>
      </c>
      <c r="M6" s="33">
        <f>C6+F6/2</f>
        <v>6892</v>
      </c>
    </row>
    <row r="7" spans="2:13" ht="15.75">
      <c r="B7" s="19" t="s">
        <v>11</v>
      </c>
      <c r="C7" s="21">
        <v>7413</v>
      </c>
      <c r="D7" s="22">
        <v>624.32</v>
      </c>
      <c r="E7" s="23">
        <f t="shared" si="0"/>
        <v>-1.9694793536804356</v>
      </c>
      <c r="F7" s="21">
        <v>225</v>
      </c>
      <c r="G7" s="24">
        <f>F7/ABS(E7-E6)</f>
        <v>89.41258747950516</v>
      </c>
      <c r="H7" s="19" t="str">
        <f>IF(E7&gt;E6,"Sag","Crest")</f>
        <v>Crest</v>
      </c>
      <c r="J7" s="25">
        <f>MIN(C7-M6,L8-C7)*2</f>
        <v>1039</v>
      </c>
      <c r="K7" s="38" t="str">
        <f>IF(F7&gt;J7,"****","OK")</f>
        <v>OK</v>
      </c>
      <c r="L7" s="33">
        <f>C7-F7/2</f>
        <v>7300.5</v>
      </c>
      <c r="M7" s="33">
        <f>C7+F7/2</f>
        <v>7525.5</v>
      </c>
    </row>
    <row r="8" spans="2:13" ht="15.75">
      <c r="B8" s="19" t="s">
        <v>12</v>
      </c>
      <c r="C8" s="21">
        <v>7970</v>
      </c>
      <c r="D8" s="22">
        <v>613.35</v>
      </c>
      <c r="E8" s="23">
        <f t="shared" si="0"/>
        <v>-0.056962025316475845</v>
      </c>
      <c r="F8" s="21">
        <v>75</v>
      </c>
      <c r="G8" s="24">
        <f>F8/ABS(E8-E7)</f>
        <v>39.21533096076983</v>
      </c>
      <c r="H8" s="19" t="str">
        <f>IF(E8&gt;E7,"Sag","Crest")</f>
        <v>Sag</v>
      </c>
      <c r="J8" s="25">
        <f>2*(C8-M7)</f>
        <v>889</v>
      </c>
      <c r="K8" s="38" t="str">
        <f>IF(F8&gt;J8,"****","OK")</f>
        <v>OK</v>
      </c>
      <c r="L8" s="33">
        <f>C8-F8/2</f>
        <v>7932.5</v>
      </c>
      <c r="M8" s="33">
        <f>C8+F8/2</f>
        <v>8007.5</v>
      </c>
    </row>
    <row r="9" spans="2:13" ht="15.75">
      <c r="B9" s="19" t="s">
        <v>13</v>
      </c>
      <c r="C9" s="21">
        <v>8286</v>
      </c>
      <c r="D9" s="22">
        <v>613.17</v>
      </c>
      <c r="E9" s="21"/>
      <c r="F9" s="19"/>
      <c r="G9" s="19"/>
      <c r="H9" s="20"/>
      <c r="K9" s="20"/>
      <c r="L9" s="33"/>
      <c r="M9" s="33"/>
    </row>
    <row r="10" spans="2:12" ht="15.75">
      <c r="B10" s="19"/>
      <c r="C10" s="21"/>
      <c r="D10" s="21"/>
      <c r="E10" s="19"/>
      <c r="F10" s="19"/>
      <c r="G10" s="21"/>
      <c r="H10" s="20"/>
      <c r="I10" s="20"/>
      <c r="J10" s="20"/>
      <c r="K10" s="20"/>
      <c r="L10" s="20"/>
    </row>
    <row r="11" spans="2:12" ht="15.75">
      <c r="B11" s="20"/>
      <c r="C11" s="19" t="s">
        <v>85</v>
      </c>
      <c r="D11" s="19" t="s">
        <v>86</v>
      </c>
      <c r="E11" s="19" t="s">
        <v>56</v>
      </c>
      <c r="F11" s="19" t="s">
        <v>2</v>
      </c>
      <c r="G11" s="19" t="s">
        <v>16</v>
      </c>
      <c r="H11" s="20"/>
      <c r="I11" s="20"/>
      <c r="J11" s="20"/>
      <c r="K11" s="21"/>
      <c r="L11" s="20"/>
    </row>
    <row r="12" spans="1:19" ht="15.75">
      <c r="A12" s="19" t="s">
        <v>50</v>
      </c>
      <c r="B12" s="19" t="s">
        <v>27</v>
      </c>
      <c r="C12" s="21">
        <v>6133.01</v>
      </c>
      <c r="D12" s="21">
        <v>2</v>
      </c>
      <c r="E12" s="23">
        <f>'Temp Calcs'!B8</f>
        <v>6120.046318843101</v>
      </c>
      <c r="F12" s="23">
        <f>'Temp Calcs'!C8</f>
        <v>606.0995042383425</v>
      </c>
      <c r="G12" s="23">
        <f>'Temp Calcs'!D8</f>
        <v>-3.683833002956992</v>
      </c>
      <c r="J12" s="20"/>
      <c r="K12" s="21"/>
      <c r="L12" s="21"/>
      <c r="O12" s="2"/>
      <c r="P12" s="18"/>
      <c r="Q12" s="3"/>
      <c r="R12" s="1"/>
      <c r="S12" s="1"/>
    </row>
    <row r="13" spans="2:19" ht="15.75">
      <c r="B13" s="19" t="s">
        <v>28</v>
      </c>
      <c r="C13" s="21">
        <v>6145.01</v>
      </c>
      <c r="D13" s="21">
        <v>2</v>
      </c>
      <c r="E13" s="23">
        <f>'Temp Calcs'!I8</f>
        <v>6155.64885314304</v>
      </c>
      <c r="F13" s="23">
        <f>'Temp Calcs'!J8</f>
        <v>604.9791035674072</v>
      </c>
      <c r="G13" s="23">
        <f>'Temp Calcs'!K8</f>
        <v>-2.6094630119155773</v>
      </c>
      <c r="H13" s="19"/>
      <c r="I13" s="20"/>
      <c r="J13" s="20"/>
      <c r="K13" s="21"/>
      <c r="L13" s="21"/>
      <c r="O13" s="2"/>
      <c r="P13" s="18"/>
      <c r="Q13" s="3"/>
      <c r="R13" s="2"/>
      <c r="S13" s="4"/>
    </row>
    <row r="14" spans="2:19" ht="15.75">
      <c r="B14" s="37" t="s">
        <v>91</v>
      </c>
      <c r="C14" s="21">
        <v>599.64</v>
      </c>
      <c r="D14" s="19"/>
      <c r="E14" s="19"/>
      <c r="F14" s="19"/>
      <c r="G14" s="21"/>
      <c r="H14" s="20"/>
      <c r="I14" s="20"/>
      <c r="J14" s="20"/>
      <c r="K14" s="20"/>
      <c r="L14" s="20"/>
      <c r="O14" s="2"/>
      <c r="P14" s="18"/>
      <c r="Q14" s="3"/>
      <c r="R14" s="2"/>
      <c r="S14" s="4"/>
    </row>
    <row r="15" spans="6:19" ht="15.75">
      <c r="F15" s="19"/>
      <c r="G15" s="19"/>
      <c r="H15" s="20"/>
      <c r="I15" s="20"/>
      <c r="J15" s="20"/>
      <c r="K15" s="20"/>
      <c r="L15" s="20"/>
      <c r="O15" s="2"/>
      <c r="P15" s="18"/>
      <c r="Q15" s="3"/>
      <c r="R15" s="2"/>
      <c r="S15" s="4"/>
    </row>
    <row r="16" spans="1:19" ht="15.75">
      <c r="A16" s="19" t="s">
        <v>46</v>
      </c>
      <c r="B16" s="19" t="s">
        <v>47</v>
      </c>
      <c r="C16" s="21">
        <v>5500</v>
      </c>
      <c r="E16" s="19" t="s">
        <v>45</v>
      </c>
      <c r="G16" s="21">
        <v>10</v>
      </c>
      <c r="H16" s="20"/>
      <c r="I16" s="20"/>
      <c r="J16" s="20"/>
      <c r="K16" s="20"/>
      <c r="L16" s="20"/>
      <c r="O16" s="2"/>
      <c r="P16" s="18"/>
      <c r="Q16" s="3"/>
      <c r="R16" s="2"/>
      <c r="S16" s="4"/>
    </row>
    <row r="17" spans="2:19" ht="15.75">
      <c r="B17" s="19" t="s">
        <v>48</v>
      </c>
      <c r="C17" s="21">
        <v>6500</v>
      </c>
      <c r="E17" s="19" t="s">
        <v>43</v>
      </c>
      <c r="F17" s="19"/>
      <c r="G17" s="21">
        <v>4</v>
      </c>
      <c r="H17" s="20"/>
      <c r="I17" s="20"/>
      <c r="J17" s="20"/>
      <c r="K17" s="20"/>
      <c r="L17" s="20"/>
      <c r="O17" s="2"/>
      <c r="P17" s="18"/>
      <c r="Q17" s="3"/>
      <c r="R17" s="2"/>
      <c r="S17" s="4"/>
    </row>
    <row r="18" spans="5:19" ht="15.75">
      <c r="E18" s="19" t="s">
        <v>44</v>
      </c>
      <c r="G18" s="21">
        <v>2</v>
      </c>
      <c r="O18" s="2"/>
      <c r="P18" s="18"/>
      <c r="Q18" s="2"/>
      <c r="R18" s="1"/>
      <c r="S18" s="1"/>
    </row>
    <row r="19" spans="2:3" ht="15.75">
      <c r="B19" s="19" t="s">
        <v>51</v>
      </c>
      <c r="C19" s="32">
        <f>'Temp Calcs'!D31</f>
        <v>3060.83454405098</v>
      </c>
    </row>
    <row r="20" spans="2:3" ht="15.75">
      <c r="B20" s="19" t="s">
        <v>52</v>
      </c>
      <c r="C20" s="32">
        <f>'Temp Calcs'!C31</f>
        <v>36287.71851711997</v>
      </c>
    </row>
    <row r="21" spans="15:19" ht="12.75">
      <c r="O21" s="2"/>
      <c r="P21" s="18"/>
      <c r="Q21" s="3"/>
      <c r="R21" s="1"/>
      <c r="S21" s="1"/>
    </row>
    <row r="22" spans="15:19" ht="12.75">
      <c r="O22" s="2"/>
      <c r="P22" s="18"/>
      <c r="Q22" s="3"/>
      <c r="R22" s="2"/>
      <c r="S22" s="4"/>
    </row>
    <row r="23" spans="15:19" ht="12.75">
      <c r="O23" s="2"/>
      <c r="P23" s="18"/>
      <c r="Q23" s="3"/>
      <c r="R23" s="2"/>
      <c r="S23" s="4"/>
    </row>
    <row r="24" spans="15:19" ht="12.75">
      <c r="O24" s="2"/>
      <c r="P24" s="18"/>
      <c r="Q24" s="3"/>
      <c r="R24" s="2"/>
      <c r="S24" s="4"/>
    </row>
    <row r="25" spans="15:19" ht="12.75">
      <c r="O25" s="2"/>
      <c r="P25" s="18"/>
      <c r="Q25" s="3"/>
      <c r="R25" s="2"/>
      <c r="S25" s="4"/>
    </row>
    <row r="26" spans="15:19" ht="12.75">
      <c r="O26" s="2"/>
      <c r="P26" s="18"/>
      <c r="Q26" s="3"/>
      <c r="R26" s="2"/>
      <c r="S26" s="4"/>
    </row>
    <row r="27" spans="15:19" ht="12.75">
      <c r="O27" s="2"/>
      <c r="P27" s="18"/>
      <c r="Q27" s="2"/>
      <c r="R27" s="1"/>
      <c r="S27" s="1"/>
    </row>
    <row r="30" spans="15:19" ht="12.75">
      <c r="O30" s="2"/>
      <c r="P30" s="18"/>
      <c r="Q30" s="3"/>
      <c r="R30" s="1"/>
      <c r="S30" s="1"/>
    </row>
    <row r="31" spans="15:19" ht="12.75">
      <c r="O31" s="2"/>
      <c r="P31" s="18"/>
      <c r="Q31" s="3"/>
      <c r="R31" s="2"/>
      <c r="S31" s="4"/>
    </row>
    <row r="32" spans="15:19" ht="12.75">
      <c r="O32" s="2"/>
      <c r="P32" s="18"/>
      <c r="Q32" s="3"/>
      <c r="R32" s="2"/>
      <c r="S32" s="4"/>
    </row>
    <row r="33" spans="15:19" ht="12.75">
      <c r="O33" s="2"/>
      <c r="P33" s="18"/>
      <c r="Q33" s="3"/>
      <c r="R33" s="2"/>
      <c r="S33" s="4"/>
    </row>
    <row r="34" spans="15:19" ht="12.75">
      <c r="O34" s="2"/>
      <c r="P34" s="18"/>
      <c r="Q34" s="3"/>
      <c r="R34" s="2"/>
      <c r="S34" s="4"/>
    </row>
    <row r="35" spans="15:19" ht="12.75">
      <c r="O35" s="2"/>
      <c r="P35" s="18"/>
      <c r="Q35" s="3"/>
      <c r="R35" s="2"/>
      <c r="S35" s="4"/>
    </row>
    <row r="36" spans="15:19" ht="12.75">
      <c r="O36" s="2"/>
      <c r="P36" s="18"/>
      <c r="Q36" s="2"/>
      <c r="R36" s="1"/>
      <c r="S36" s="1"/>
    </row>
    <row r="39" spans="15:19" ht="12.75">
      <c r="O39" s="2"/>
      <c r="P39" s="18"/>
      <c r="Q39" s="3"/>
      <c r="R39" s="1"/>
      <c r="S39" s="1"/>
    </row>
    <row r="40" spans="15:19" ht="12.75">
      <c r="O40" s="2"/>
      <c r="P40" s="18"/>
      <c r="Q40" s="3"/>
      <c r="R40" s="2"/>
      <c r="S40" s="4"/>
    </row>
    <row r="41" spans="15:19" ht="12.75">
      <c r="O41" s="2"/>
      <c r="P41" s="18"/>
      <c r="Q41" s="3"/>
      <c r="R41" s="2"/>
      <c r="S41" s="4"/>
    </row>
    <row r="42" spans="15:19" ht="12.75">
      <c r="O42" s="2"/>
      <c r="P42" s="18"/>
      <c r="Q42" s="3"/>
      <c r="R42" s="2"/>
      <c r="S42" s="4"/>
    </row>
    <row r="43" spans="15:19" ht="12.75">
      <c r="O43" s="2"/>
      <c r="P43" s="18"/>
      <c r="Q43" s="3"/>
      <c r="R43" s="2"/>
      <c r="S43" s="4"/>
    </row>
    <row r="44" spans="15:19" ht="12.75">
      <c r="O44" s="2"/>
      <c r="P44" s="18"/>
      <c r="Q44" s="3"/>
      <c r="R44" s="2"/>
      <c r="S44" s="4"/>
    </row>
    <row r="45" spans="15:19" ht="12.75">
      <c r="O45" s="2"/>
      <c r="P45" s="18"/>
      <c r="Q45" s="2"/>
      <c r="R45" s="1"/>
      <c r="S45" s="1"/>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1"/>
  <dimension ref="A1:E138"/>
  <sheetViews>
    <sheetView workbookViewId="0" topLeftCell="A1">
      <selection activeCell="F46" sqref="F46"/>
    </sheetView>
  </sheetViews>
  <sheetFormatPr defaultColWidth="9.140625" defaultRowHeight="12.75"/>
  <cols>
    <col min="1" max="1" width="12.8515625" style="0" customWidth="1"/>
    <col min="2" max="2" width="13.140625" style="0" customWidth="1"/>
  </cols>
  <sheetData>
    <row r="1" spans="1:2" s="1" customFormat="1" ht="15.75">
      <c r="A1" s="19" t="s">
        <v>26</v>
      </c>
      <c r="B1" s="19"/>
    </row>
    <row r="2" spans="1:5" s="1" customFormat="1" ht="15.75">
      <c r="A2" s="19" t="s">
        <v>1</v>
      </c>
      <c r="B2" s="19" t="s">
        <v>23</v>
      </c>
      <c r="D2" s="19"/>
      <c r="E2" s="19"/>
    </row>
    <row r="3" spans="1:4" ht="12.75">
      <c r="A3">
        <v>4000</v>
      </c>
      <c r="B3">
        <v>649.164</v>
      </c>
    </row>
    <row r="4" spans="1:4" ht="12.75">
      <c r="A4">
        <v>4030</v>
      </c>
      <c r="B4">
        <v>648.956249</v>
      </c>
    </row>
    <row r="5" spans="1:4" ht="12.75">
      <c r="A5">
        <v>4060</v>
      </c>
      <c r="B5">
        <v>648.72404</v>
      </c>
    </row>
    <row r="6" spans="1:4" ht="12.75">
      <c r="A6">
        <v>4090</v>
      </c>
      <c r="B6">
        <v>648.425724</v>
      </c>
    </row>
    <row r="7" spans="1:4" ht="12.75">
      <c r="A7">
        <v>4120</v>
      </c>
      <c r="B7">
        <v>648.097765</v>
      </c>
    </row>
    <row r="8" spans="1:4" ht="12.75">
      <c r="A8">
        <v>4150</v>
      </c>
      <c r="B8">
        <v>647.714894</v>
      </c>
    </row>
    <row r="9" spans="1:4" ht="12.75">
      <c r="A9">
        <v>4180</v>
      </c>
      <c r="B9">
        <v>647.258474</v>
      </c>
    </row>
    <row r="10" spans="1:4" ht="12.75">
      <c r="A10">
        <v>4210</v>
      </c>
      <c r="B10">
        <v>646.781414</v>
      </c>
    </row>
    <row r="11" spans="1:4" ht="12.75">
      <c r="A11">
        <v>4240</v>
      </c>
      <c r="B11">
        <v>646.295517</v>
      </c>
    </row>
    <row r="12" spans="1:4" ht="12.75">
      <c r="A12">
        <v>4270</v>
      </c>
      <c r="B12">
        <v>645.856957</v>
      </c>
    </row>
    <row r="13" spans="1:4" ht="12.75">
      <c r="A13">
        <v>4300</v>
      </c>
      <c r="B13">
        <v>645.492023</v>
      </c>
    </row>
    <row r="14" spans="1:4" ht="12.75">
      <c r="A14">
        <v>4330</v>
      </c>
      <c r="B14">
        <v>645.12139</v>
      </c>
    </row>
    <row r="15" spans="1:4" ht="12.75">
      <c r="A15">
        <v>4360</v>
      </c>
      <c r="B15">
        <v>644.756761</v>
      </c>
    </row>
    <row r="16" spans="1:4" ht="12.75">
      <c r="A16">
        <v>4390</v>
      </c>
      <c r="B16">
        <v>644.446072</v>
      </c>
    </row>
    <row r="17" spans="1:4" ht="12.75">
      <c r="A17">
        <v>4420</v>
      </c>
      <c r="B17">
        <v>644.177317</v>
      </c>
    </row>
    <row r="18" spans="1:4" ht="12.75">
      <c r="A18">
        <v>4450</v>
      </c>
      <c r="B18">
        <v>643.959971</v>
      </c>
    </row>
    <row r="19" spans="1:4" ht="12.75">
      <c r="A19">
        <v>4480</v>
      </c>
      <c r="B19">
        <v>643.754337</v>
      </c>
    </row>
    <row r="20" spans="1:4" ht="12.75">
      <c r="A20">
        <v>4510</v>
      </c>
      <c r="B20">
        <v>643.543137</v>
      </c>
    </row>
    <row r="21" spans="1:4" ht="12.75">
      <c r="A21">
        <v>4540</v>
      </c>
      <c r="B21">
        <v>643.431214</v>
      </c>
    </row>
    <row r="22" spans="1:4" ht="12.75">
      <c r="A22">
        <v>4570</v>
      </c>
      <c r="B22">
        <v>643.25558</v>
      </c>
    </row>
    <row r="23" spans="1:4" ht="12.75">
      <c r="A23">
        <v>4600</v>
      </c>
      <c r="B23">
        <v>643.063261</v>
      </c>
    </row>
    <row r="24" spans="1:4" ht="12.75">
      <c r="A24">
        <v>4630</v>
      </c>
      <c r="B24">
        <v>642.851972</v>
      </c>
    </row>
    <row r="25" spans="1:4" ht="12.75">
      <c r="A25">
        <v>4660</v>
      </c>
      <c r="B25">
        <v>642.53548</v>
      </c>
    </row>
    <row r="26" spans="1:4" ht="12.75">
      <c r="A26">
        <v>4690</v>
      </c>
      <c r="B26">
        <v>642.303046</v>
      </c>
    </row>
    <row r="27" spans="1:4" ht="12.75">
      <c r="A27">
        <v>4720</v>
      </c>
      <c r="B27">
        <v>642.029381</v>
      </c>
    </row>
    <row r="28" spans="1:4" ht="12.75">
      <c r="A28">
        <v>4750</v>
      </c>
      <c r="B28">
        <v>641.759833</v>
      </c>
    </row>
    <row r="29" spans="1:4" ht="12.75">
      <c r="A29">
        <v>4780</v>
      </c>
      <c r="B29">
        <v>641.462076</v>
      </c>
    </row>
    <row r="30" spans="1:4" ht="12.75">
      <c r="A30">
        <v>4810</v>
      </c>
      <c r="B30">
        <v>641.119776</v>
      </c>
    </row>
    <row r="31" spans="1:4" ht="12.75">
      <c r="A31">
        <v>4840</v>
      </c>
      <c r="B31">
        <v>640.85115</v>
      </c>
    </row>
    <row r="32" spans="1:4" ht="12.75">
      <c r="A32">
        <v>4870</v>
      </c>
      <c r="B32">
        <v>640.603851</v>
      </c>
    </row>
    <row r="33" spans="1:4" ht="12.75">
      <c r="A33">
        <v>4900</v>
      </c>
      <c r="B33">
        <v>640.264022</v>
      </c>
    </row>
    <row r="34" spans="1:4" ht="12.75">
      <c r="A34">
        <v>4930</v>
      </c>
      <c r="B34">
        <v>639.938563</v>
      </c>
    </row>
    <row r="35" spans="1:4" ht="12.75">
      <c r="A35">
        <v>4960</v>
      </c>
      <c r="B35">
        <v>639.587609</v>
      </c>
    </row>
    <row r="36" spans="1:4" ht="12.75">
      <c r="A36">
        <v>4990</v>
      </c>
      <c r="B36">
        <v>639.199157</v>
      </c>
    </row>
    <row r="37" spans="1:4" ht="12.75">
      <c r="A37">
        <v>5020</v>
      </c>
      <c r="B37">
        <v>638.851436</v>
      </c>
    </row>
    <row r="38" spans="1:4" ht="12.75">
      <c r="A38">
        <v>5050</v>
      </c>
      <c r="B38">
        <v>638.507122</v>
      </c>
    </row>
    <row r="39" spans="1:4" ht="12.75">
      <c r="A39">
        <v>5080</v>
      </c>
      <c r="B39">
        <v>638.163497</v>
      </c>
    </row>
    <row r="40" spans="1:4" ht="12.75">
      <c r="A40">
        <v>5110</v>
      </c>
      <c r="B40">
        <v>637.824532</v>
      </c>
    </row>
    <row r="41" spans="1:4" ht="12.75">
      <c r="A41">
        <v>5140</v>
      </c>
      <c r="B41">
        <v>637.488925</v>
      </c>
    </row>
    <row r="42" spans="1:4" ht="12.75">
      <c r="A42">
        <v>5170</v>
      </c>
      <c r="B42">
        <v>637.166257</v>
      </c>
    </row>
    <row r="43" spans="1:4" ht="12.75">
      <c r="A43">
        <v>5200</v>
      </c>
      <c r="B43">
        <v>636.880397</v>
      </c>
    </row>
    <row r="44" spans="1:4" ht="12.75">
      <c r="A44">
        <v>5230</v>
      </c>
      <c r="B44">
        <v>636.53673</v>
      </c>
    </row>
    <row r="45" spans="1:4" ht="12.75">
      <c r="A45">
        <v>5260</v>
      </c>
      <c r="B45">
        <v>636.02149</v>
      </c>
    </row>
    <row r="46" spans="1:4" ht="12.75">
      <c r="A46">
        <v>5290</v>
      </c>
      <c r="B46">
        <v>635.437969</v>
      </c>
    </row>
    <row r="47" spans="1:4" ht="12.75">
      <c r="A47">
        <v>5320</v>
      </c>
      <c r="B47">
        <v>634.773479</v>
      </c>
    </row>
    <row r="48" spans="1:4" ht="12.75">
      <c r="A48">
        <v>5350</v>
      </c>
      <c r="B48">
        <v>634.017922</v>
      </c>
    </row>
    <row r="49" spans="1:4" ht="12.75">
      <c r="A49">
        <v>5380</v>
      </c>
      <c r="B49">
        <v>633.171396</v>
      </c>
    </row>
    <row r="50" spans="1:4" ht="12.75">
      <c r="A50">
        <v>5410</v>
      </c>
      <c r="B50">
        <v>632.246379</v>
      </c>
    </row>
    <row r="51" spans="1:4" ht="12.75">
      <c r="A51">
        <v>5440</v>
      </c>
      <c r="B51">
        <v>631.265501</v>
      </c>
    </row>
    <row r="52" spans="1:4" ht="12.75">
      <c r="A52">
        <v>5470</v>
      </c>
      <c r="B52">
        <v>630.259754</v>
      </c>
    </row>
    <row r="53" spans="1:4" ht="12.75">
      <c r="A53">
        <v>5500</v>
      </c>
      <c r="B53">
        <v>629.226858</v>
      </c>
    </row>
    <row r="54" spans="1:4" ht="12.75">
      <c r="A54">
        <v>5530</v>
      </c>
      <c r="B54">
        <v>628.185178</v>
      </c>
    </row>
    <row r="55" spans="1:4" ht="12.75">
      <c r="A55">
        <v>5560</v>
      </c>
      <c r="B55">
        <v>627.275982</v>
      </c>
    </row>
    <row r="56" spans="1:4" ht="12.75">
      <c r="A56">
        <v>5590</v>
      </c>
      <c r="B56">
        <v>626.353069</v>
      </c>
    </row>
    <row r="57" spans="1:4" ht="12.75">
      <c r="A57">
        <v>5620</v>
      </c>
      <c r="B57">
        <v>625.628101</v>
      </c>
    </row>
    <row r="58" spans="1:4" ht="12.75">
      <c r="A58">
        <v>5650</v>
      </c>
      <c r="B58">
        <v>624.966284</v>
      </c>
    </row>
    <row r="59" spans="1:4" ht="12.75">
      <c r="A59">
        <v>5680</v>
      </c>
      <c r="B59">
        <v>624.321067</v>
      </c>
    </row>
    <row r="60" spans="1:4" ht="12.75">
      <c r="A60">
        <v>5710</v>
      </c>
      <c r="B60">
        <v>623.730598</v>
      </c>
    </row>
    <row r="61" spans="1:4" ht="12.75">
      <c r="A61">
        <v>5740</v>
      </c>
      <c r="B61">
        <v>623.221495</v>
      </c>
    </row>
    <row r="62" spans="1:4" ht="12.75">
      <c r="A62">
        <v>5770</v>
      </c>
      <c r="B62">
        <v>622.58107</v>
      </c>
    </row>
    <row r="63" spans="1:4" ht="12.75">
      <c r="A63">
        <v>5800</v>
      </c>
      <c r="B63">
        <v>621.781728</v>
      </c>
    </row>
    <row r="64" spans="1:4" ht="12.75">
      <c r="A64">
        <v>5830</v>
      </c>
      <c r="B64">
        <v>620.881376</v>
      </c>
    </row>
    <row r="65" spans="1:4" ht="12.75">
      <c r="A65">
        <v>5860</v>
      </c>
      <c r="B65">
        <v>619.873252</v>
      </c>
    </row>
    <row r="66" spans="1:4" ht="12.75">
      <c r="A66">
        <v>5890</v>
      </c>
      <c r="B66">
        <v>618.710977</v>
      </c>
    </row>
    <row r="67" spans="1:4" ht="12.75">
      <c r="A67">
        <v>5920</v>
      </c>
      <c r="B67">
        <v>617.42336</v>
      </c>
    </row>
    <row r="68" spans="1:4" ht="12.75">
      <c r="A68">
        <v>5950</v>
      </c>
      <c r="B68">
        <v>615.962</v>
      </c>
    </row>
    <row r="69" spans="1:4" ht="12.75">
      <c r="A69">
        <v>5980</v>
      </c>
      <c r="B69">
        <v>614.326011</v>
      </c>
    </row>
    <row r="70" spans="1:4" ht="12.75">
      <c r="A70">
        <v>6010</v>
      </c>
      <c r="B70">
        <v>612.602575</v>
      </c>
    </row>
    <row r="71" spans="1:4" ht="12.75">
      <c r="A71">
        <v>6040</v>
      </c>
      <c r="B71">
        <v>610.782485</v>
      </c>
    </row>
    <row r="72" spans="1:4" ht="12.75">
      <c r="A72">
        <v>6070</v>
      </c>
      <c r="B72">
        <v>608.887107</v>
      </c>
    </row>
    <row r="73" spans="1:4" ht="12.75">
      <c r="A73">
        <v>6100</v>
      </c>
      <c r="B73">
        <v>606.962426</v>
      </c>
    </row>
    <row r="74" spans="1:4" ht="12.75">
      <c r="A74">
        <v>6130</v>
      </c>
      <c r="B74">
        <v>601.516084</v>
      </c>
    </row>
    <row r="75" spans="1:4" ht="12.75">
      <c r="A75">
        <v>6160</v>
      </c>
      <c r="B75">
        <v>603.677207</v>
      </c>
    </row>
    <row r="76" spans="1:4" ht="12.75">
      <c r="A76">
        <v>6190</v>
      </c>
      <c r="B76">
        <v>602.996674</v>
      </c>
    </row>
    <row r="77" spans="1:4" ht="12.75">
      <c r="A77">
        <v>6220</v>
      </c>
      <c r="B77">
        <v>602.798603</v>
      </c>
    </row>
    <row r="78" spans="1:4" ht="12.75">
      <c r="A78">
        <v>6250</v>
      </c>
      <c r="B78">
        <v>603.040435</v>
      </c>
    </row>
    <row r="79" spans="1:4" ht="12.75">
      <c r="A79">
        <v>6280</v>
      </c>
      <c r="B79">
        <v>603.646761</v>
      </c>
    </row>
    <row r="80" spans="1:4" ht="12.75">
      <c r="A80">
        <v>6310</v>
      </c>
      <c r="B80">
        <v>604.521314</v>
      </c>
    </row>
    <row r="81" spans="1:4" ht="12.75">
      <c r="A81">
        <v>6340</v>
      </c>
      <c r="B81">
        <v>605.296861</v>
      </c>
    </row>
    <row r="82" spans="1:4" ht="12.75">
      <c r="A82">
        <v>6370</v>
      </c>
      <c r="B82">
        <v>606.275584</v>
      </c>
    </row>
    <row r="83" spans="1:4" ht="12.75">
      <c r="A83">
        <v>6400</v>
      </c>
      <c r="B83">
        <v>607.211926</v>
      </c>
    </row>
    <row r="84" spans="1:4" ht="12.75">
      <c r="A84">
        <v>6430</v>
      </c>
      <c r="B84">
        <v>608.129632</v>
      </c>
    </row>
    <row r="85" spans="1:4" ht="12.75">
      <c r="A85">
        <v>6460</v>
      </c>
      <c r="B85">
        <v>609.210141</v>
      </c>
    </row>
    <row r="86" spans="1:4" ht="12.75">
      <c r="A86">
        <v>6490</v>
      </c>
      <c r="B86">
        <v>610.207072</v>
      </c>
    </row>
    <row r="87" spans="1:4" ht="12.75">
      <c r="A87">
        <v>6520</v>
      </c>
      <c r="B87">
        <v>611.527697</v>
      </c>
    </row>
    <row r="88" spans="1:4" ht="12.75">
      <c r="A88">
        <v>6550</v>
      </c>
      <c r="B88">
        <v>612.956555</v>
      </c>
    </row>
    <row r="89" spans="1:4" ht="12.75">
      <c r="A89">
        <v>6580</v>
      </c>
      <c r="B89">
        <v>614.332943</v>
      </c>
    </row>
    <row r="90" spans="1:4" ht="12.75">
      <c r="A90">
        <v>6610</v>
      </c>
      <c r="B90">
        <v>615.624057</v>
      </c>
    </row>
    <row r="91" spans="1:4" ht="12.75">
      <c r="A91">
        <v>6640</v>
      </c>
      <c r="B91">
        <v>616.858734</v>
      </c>
    </row>
    <row r="92" spans="1:4" ht="12.75">
      <c r="A92">
        <v>6670</v>
      </c>
      <c r="B92">
        <v>617.836151</v>
      </c>
    </row>
    <row r="93" spans="1:4" ht="12.75">
      <c r="A93">
        <v>6700</v>
      </c>
      <c r="B93">
        <v>618.602482</v>
      </c>
    </row>
    <row r="94" spans="1:4" ht="12.75">
      <c r="A94">
        <v>6730</v>
      </c>
      <c r="B94">
        <v>619.291053</v>
      </c>
    </row>
    <row r="95" spans="1:4" ht="12.75">
      <c r="A95">
        <v>6760</v>
      </c>
      <c r="B95">
        <v>619.746484</v>
      </c>
    </row>
    <row r="96" spans="1:4" ht="12.75">
      <c r="A96">
        <v>6790</v>
      </c>
      <c r="B96">
        <v>620.078376</v>
      </c>
    </row>
    <row r="97" spans="1:4" ht="12.75">
      <c r="A97">
        <v>6820</v>
      </c>
      <c r="B97">
        <v>620.248817</v>
      </c>
    </row>
    <row r="98" spans="1:4" ht="12.75">
      <c r="A98">
        <v>6850</v>
      </c>
      <c r="B98">
        <v>620.296182</v>
      </c>
    </row>
    <row r="99" spans="1:4" ht="12.75">
      <c r="A99">
        <v>6880</v>
      </c>
      <c r="B99">
        <v>620.374762</v>
      </c>
    </row>
    <row r="100" spans="1:4" ht="12.75">
      <c r="A100">
        <v>6910</v>
      </c>
      <c r="B100">
        <v>620.500528</v>
      </c>
    </row>
    <row r="101" spans="1:4" ht="12.75">
      <c r="A101">
        <v>6940</v>
      </c>
      <c r="B101">
        <v>620.622352</v>
      </c>
    </row>
    <row r="102" spans="1:4" ht="12.75">
      <c r="A102">
        <v>6970</v>
      </c>
      <c r="B102">
        <v>620.693906</v>
      </c>
    </row>
    <row r="103" spans="1:4" ht="12.75">
      <c r="A103">
        <v>7000</v>
      </c>
      <c r="B103">
        <v>620.811343</v>
      </c>
    </row>
    <row r="104" spans="1:4" ht="12.75">
      <c r="A104">
        <v>7030</v>
      </c>
      <c r="B104">
        <v>620.973839</v>
      </c>
    </row>
    <row r="105" spans="1:4" ht="12.75">
      <c r="A105">
        <v>7060</v>
      </c>
      <c r="B105">
        <v>621.180033</v>
      </c>
    </row>
    <row r="106" spans="1:4" ht="12.75">
      <c r="A106">
        <v>7090</v>
      </c>
      <c r="B106">
        <v>621.423665</v>
      </c>
    </row>
    <row r="107" spans="1:4" ht="12.75">
      <c r="A107">
        <v>7120</v>
      </c>
      <c r="B107">
        <v>621.739237</v>
      </c>
    </row>
    <row r="108" spans="1:4" ht="12.75">
      <c r="A108">
        <v>7150</v>
      </c>
      <c r="B108">
        <v>622.098624</v>
      </c>
    </row>
    <row r="109" spans="1:4" ht="12.75">
      <c r="A109">
        <v>7180</v>
      </c>
      <c r="B109">
        <v>622.500576</v>
      </c>
    </row>
    <row r="110" spans="1:4" ht="12.75">
      <c r="A110">
        <v>7210</v>
      </c>
      <c r="B110">
        <v>622.869381</v>
      </c>
    </row>
    <row r="111" spans="1:4" ht="12.75">
      <c r="A111">
        <v>7240</v>
      </c>
      <c r="B111">
        <v>623.220014</v>
      </c>
    </row>
    <row r="112" spans="1:4" ht="12.75">
      <c r="A112">
        <v>7270</v>
      </c>
      <c r="B112">
        <v>623.464643</v>
      </c>
    </row>
    <row r="113" spans="1:4" ht="12.75">
      <c r="A113">
        <v>7300</v>
      </c>
      <c r="B113">
        <v>623.683515</v>
      </c>
    </row>
    <row r="114" spans="1:4" ht="12.75">
      <c r="A114">
        <v>7330</v>
      </c>
      <c r="B114">
        <v>623.799494</v>
      </c>
    </row>
    <row r="115" spans="1:4" ht="12.75">
      <c r="A115">
        <v>7360</v>
      </c>
      <c r="B115">
        <v>623.756583</v>
      </c>
    </row>
    <row r="116" spans="1:4" ht="12.75">
      <c r="A116">
        <v>7390</v>
      </c>
      <c r="B116">
        <v>623.691457</v>
      </c>
    </row>
    <row r="117" spans="1:4" ht="12.75">
      <c r="A117">
        <v>7420</v>
      </c>
      <c r="B117">
        <v>623.536655</v>
      </c>
    </row>
    <row r="118" spans="1:4" ht="12.75">
      <c r="A118">
        <v>7450</v>
      </c>
      <c r="B118">
        <v>623.299113</v>
      </c>
    </row>
    <row r="119" spans="1:4" ht="12.75">
      <c r="A119">
        <v>7480</v>
      </c>
      <c r="B119">
        <v>622.970507</v>
      </c>
    </row>
    <row r="120" spans="1:4" ht="12.75">
      <c r="A120">
        <v>7510</v>
      </c>
      <c r="B120">
        <v>622.552449</v>
      </c>
    </row>
    <row r="121" spans="1:4" ht="12.75">
      <c r="A121">
        <v>7540</v>
      </c>
      <c r="B121">
        <v>622.053388</v>
      </c>
    </row>
    <row r="122" spans="1:4" ht="12.75">
      <c r="A122">
        <v>7570</v>
      </c>
      <c r="B122">
        <v>621.647074</v>
      </c>
    </row>
    <row r="123" spans="1:4" ht="12.75">
      <c r="A123">
        <v>7600</v>
      </c>
      <c r="B123">
        <v>621.209138</v>
      </c>
    </row>
    <row r="124" spans="1:4" ht="12.75">
      <c r="A124">
        <v>7630</v>
      </c>
      <c r="B124">
        <v>620.714907</v>
      </c>
    </row>
    <row r="125" spans="1:4" ht="12.75">
      <c r="A125">
        <v>7660</v>
      </c>
      <c r="B125">
        <v>620.220527</v>
      </c>
    </row>
    <row r="126" spans="1:4" ht="12.75">
      <c r="A126">
        <v>7690</v>
      </c>
      <c r="B126">
        <v>619.730282</v>
      </c>
    </row>
    <row r="127" spans="1:4" ht="12.75">
      <c r="A127">
        <v>7720</v>
      </c>
      <c r="B127">
        <v>619.227563</v>
      </c>
    </row>
    <row r="128" spans="1:4" ht="12.75">
      <c r="A128">
        <v>7750</v>
      </c>
      <c r="B128">
        <v>618.617035</v>
      </c>
    </row>
    <row r="129" spans="1:4" ht="12.75">
      <c r="A129">
        <v>7780</v>
      </c>
      <c r="B129">
        <v>617.963174</v>
      </c>
    </row>
    <row r="130" spans="1:4" ht="12.75">
      <c r="A130">
        <v>7810</v>
      </c>
      <c r="B130">
        <v>617.253462</v>
      </c>
    </row>
    <row r="131" spans="1:4" ht="12.75">
      <c r="A131">
        <v>7840</v>
      </c>
      <c r="B131">
        <v>616.425606</v>
      </c>
    </row>
    <row r="132" spans="1:4" ht="12.75">
      <c r="A132">
        <v>7870</v>
      </c>
      <c r="B132">
        <v>615.581086</v>
      </c>
    </row>
    <row r="133" spans="1:4" ht="12.75">
      <c r="A133">
        <v>7900</v>
      </c>
      <c r="B133">
        <v>614.887772</v>
      </c>
    </row>
    <row r="134" spans="1:4" ht="12.75">
      <c r="A134">
        <v>7930</v>
      </c>
      <c r="B134">
        <v>614.252496</v>
      </c>
    </row>
    <row r="135" spans="1:4" ht="12.75">
      <c r="A135">
        <v>7960</v>
      </c>
      <c r="B135">
        <v>613.731136</v>
      </c>
    </row>
    <row r="136" spans="1:4" ht="12.75">
      <c r="A136">
        <v>7990</v>
      </c>
      <c r="B136">
        <v>613.500752</v>
      </c>
    </row>
    <row r="137" spans="1:4" ht="12.75">
      <c r="A137">
        <v>8020</v>
      </c>
      <c r="B137">
        <v>613.3702</v>
      </c>
    </row>
    <row r="138" spans="1:4" ht="12.75">
      <c r="A138">
        <v>8048</v>
      </c>
      <c r="B138">
        <v>613.309012</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2"/>
  <dimension ref="A1:M106"/>
  <sheetViews>
    <sheetView workbookViewId="0" topLeftCell="A59">
      <selection activeCell="C2" sqref="C2:D106"/>
    </sheetView>
  </sheetViews>
  <sheetFormatPr defaultColWidth="9.140625" defaultRowHeight="12.75"/>
  <cols>
    <col min="4" max="4" width="9.140625" style="8" customWidth="1"/>
    <col min="6" max="6" width="9.140625" style="17" customWidth="1"/>
  </cols>
  <sheetData>
    <row r="1" spans="1:5" ht="12.75">
      <c r="A1" s="1" t="s">
        <v>14</v>
      </c>
      <c r="B1" s="1" t="s">
        <v>0</v>
      </c>
      <c r="C1" s="1" t="s">
        <v>15</v>
      </c>
      <c r="D1" s="6" t="s">
        <v>2</v>
      </c>
      <c r="E1" s="1" t="s">
        <v>16</v>
      </c>
    </row>
    <row r="2" spans="1:13" ht="12.75">
      <c r="A2" s="1">
        <v>1</v>
      </c>
      <c r="B2" s="1" t="s">
        <v>17</v>
      </c>
      <c r="C2" s="5">
        <f>Data!C4-Data!F4/2</f>
        <v>5715</v>
      </c>
      <c r="D2" s="6">
        <f>Data!D3+Data!E3/100*(Detail!C2-Data!C3)</f>
        <v>623.268516566265</v>
      </c>
      <c r="E2" s="5">
        <f>Data!E3</f>
        <v>-2.3908132530120483</v>
      </c>
      <c r="F2" s="26"/>
      <c r="K2" s="5"/>
      <c r="L2" s="6"/>
      <c r="M2" s="5"/>
    </row>
    <row r="3" spans="1:13" ht="12.75">
      <c r="A3">
        <v>2</v>
      </c>
      <c r="C3" s="7">
        <f aca="true" t="shared" si="0" ref="C3:C21">C2+($C$22-$C$2)/20</f>
        <v>5727.5</v>
      </c>
      <c r="D3" s="8">
        <f aca="true" t="shared" si="1" ref="D3:D21">D$2+($E$22-$E$2)/100*(C3-$C$2)^2/2/($C$22-$C$2)+$E$2/100*(C3-$C$2)</f>
        <v>622.9608858719336</v>
      </c>
      <c r="E3" s="7">
        <f aca="true" t="shared" si="2" ref="E3:E21">$E$2+($E$22-$E$2)*(C3-$C$2)/($C$22-$C$2)</f>
        <v>-2.5312778562908824</v>
      </c>
      <c r="F3" s="26"/>
      <c r="K3" s="7"/>
      <c r="L3" s="8"/>
      <c r="M3" s="7"/>
    </row>
    <row r="4" spans="1:13" ht="12.75">
      <c r="A4">
        <v>3</v>
      </c>
      <c r="C4" s="7">
        <f t="shared" si="0"/>
        <v>5740</v>
      </c>
      <c r="D4" s="8">
        <f t="shared" si="1"/>
        <v>622.6356971021924</v>
      </c>
      <c r="E4" s="7">
        <f t="shared" si="2"/>
        <v>-2.671742459569716</v>
      </c>
      <c r="F4" s="26"/>
      <c r="K4" s="7"/>
      <c r="L4" s="8"/>
      <c r="M4" s="7"/>
    </row>
    <row r="5" spans="1:13" ht="12.75">
      <c r="A5">
        <v>4</v>
      </c>
      <c r="C5" s="7">
        <f t="shared" si="0"/>
        <v>5752.5</v>
      </c>
      <c r="D5" s="8">
        <f t="shared" si="1"/>
        <v>622.2929502570412</v>
      </c>
      <c r="E5" s="7">
        <f t="shared" si="2"/>
        <v>-2.8122070628485503</v>
      </c>
      <c r="F5" s="26"/>
      <c r="K5" s="7"/>
      <c r="L5" s="8"/>
      <c r="M5" s="7"/>
    </row>
    <row r="6" spans="1:13" ht="12.75">
      <c r="A6">
        <v>5</v>
      </c>
      <c r="C6" s="7">
        <f t="shared" si="0"/>
        <v>5765</v>
      </c>
      <c r="D6" s="8">
        <f t="shared" si="1"/>
        <v>621.9326453364802</v>
      </c>
      <c r="E6" s="7">
        <f t="shared" si="2"/>
        <v>-2.9526716661273844</v>
      </c>
      <c r="F6" s="26"/>
      <c r="K6" s="7"/>
      <c r="L6" s="8"/>
      <c r="M6" s="7"/>
    </row>
    <row r="7" spans="1:13" ht="12.75">
      <c r="A7">
        <v>6</v>
      </c>
      <c r="C7" s="7">
        <f t="shared" si="0"/>
        <v>5777.5</v>
      </c>
      <c r="D7" s="8">
        <f t="shared" si="1"/>
        <v>621.5547823405093</v>
      </c>
      <c r="E7" s="7">
        <f t="shared" si="2"/>
        <v>-3.0931362694062186</v>
      </c>
      <c r="F7" s="26"/>
      <c r="K7" s="7"/>
      <c r="L7" s="8"/>
      <c r="M7" s="7"/>
    </row>
    <row r="8" spans="1:13" ht="12.75">
      <c r="A8">
        <v>7</v>
      </c>
      <c r="C8" s="7">
        <f t="shared" si="0"/>
        <v>5790</v>
      </c>
      <c r="D8" s="8">
        <f t="shared" si="1"/>
        <v>621.1593612691287</v>
      </c>
      <c r="E8" s="7">
        <f t="shared" si="2"/>
        <v>-3.2336008726850523</v>
      </c>
      <c r="F8" s="26"/>
      <c r="K8" s="7"/>
      <c r="L8" s="8"/>
      <c r="M8" s="7"/>
    </row>
    <row r="9" spans="1:13" ht="12.75">
      <c r="A9">
        <v>8</v>
      </c>
      <c r="C9" s="7">
        <f t="shared" si="0"/>
        <v>5802.5</v>
      </c>
      <c r="D9" s="8">
        <f t="shared" si="1"/>
        <v>620.746382122338</v>
      </c>
      <c r="E9" s="7">
        <f t="shared" si="2"/>
        <v>-3.3740654759638864</v>
      </c>
      <c r="F9" s="26"/>
      <c r="K9" s="7"/>
      <c r="L9" s="8"/>
      <c r="M9" s="7"/>
    </row>
    <row r="10" spans="1:13" ht="12.75">
      <c r="A10">
        <v>9</v>
      </c>
      <c r="C10" s="7">
        <f t="shared" si="0"/>
        <v>5815</v>
      </c>
      <c r="D10" s="8">
        <f t="shared" si="1"/>
        <v>620.3158449001376</v>
      </c>
      <c r="E10" s="7">
        <f t="shared" si="2"/>
        <v>-3.5145300792427205</v>
      </c>
      <c r="F10" s="26"/>
      <c r="K10" s="7"/>
      <c r="L10" s="8"/>
      <c r="M10" s="7"/>
    </row>
    <row r="11" spans="1:13" ht="12.75">
      <c r="A11">
        <v>10</v>
      </c>
      <c r="C11" s="7">
        <f t="shared" si="0"/>
        <v>5827.5</v>
      </c>
      <c r="D11" s="8">
        <f t="shared" si="1"/>
        <v>619.8677496025274</v>
      </c>
      <c r="E11" s="7">
        <f t="shared" si="2"/>
        <v>-3.6549946825215542</v>
      </c>
      <c r="F11" s="26"/>
      <c r="K11" s="7"/>
      <c r="L11" s="8"/>
      <c r="M11" s="7"/>
    </row>
    <row r="12" spans="1:13" ht="12.75">
      <c r="A12">
        <v>11</v>
      </c>
      <c r="C12" s="7">
        <f t="shared" si="0"/>
        <v>5840</v>
      </c>
      <c r="D12" s="8">
        <f t="shared" si="1"/>
        <v>619.4020962295073</v>
      </c>
      <c r="E12" s="7">
        <f t="shared" si="2"/>
        <v>-3.7954592858003884</v>
      </c>
      <c r="F12" s="26"/>
      <c r="K12" s="7"/>
      <c r="L12" s="8"/>
      <c r="M12" s="7"/>
    </row>
    <row r="13" spans="1:13" ht="12.75">
      <c r="A13">
        <v>12</v>
      </c>
      <c r="C13" s="7">
        <f t="shared" si="0"/>
        <v>5852.5</v>
      </c>
      <c r="D13" s="8">
        <f t="shared" si="1"/>
        <v>618.9188847810773</v>
      </c>
      <c r="E13" s="7">
        <f t="shared" si="2"/>
        <v>-3.9359238890792225</v>
      </c>
      <c r="F13" s="26"/>
      <c r="K13" s="7"/>
      <c r="L13" s="8"/>
      <c r="M13" s="7"/>
    </row>
    <row r="14" spans="1:13" ht="12.75">
      <c r="A14">
        <v>13</v>
      </c>
      <c r="C14" s="7">
        <f t="shared" si="0"/>
        <v>5865</v>
      </c>
      <c r="D14" s="8">
        <f t="shared" si="1"/>
        <v>618.4181152572373</v>
      </c>
      <c r="E14" s="7">
        <f t="shared" si="2"/>
        <v>-4.076388492358056</v>
      </c>
      <c r="F14" s="26"/>
      <c r="K14" s="7"/>
      <c r="L14" s="8"/>
      <c r="M14" s="7"/>
    </row>
    <row r="15" spans="1:13" ht="12.75">
      <c r="A15">
        <v>14</v>
      </c>
      <c r="C15" s="7">
        <f t="shared" si="0"/>
        <v>5877.5</v>
      </c>
      <c r="D15" s="8">
        <f t="shared" si="1"/>
        <v>617.8997876579878</v>
      </c>
      <c r="E15" s="7">
        <f t="shared" si="2"/>
        <v>-4.216853095636891</v>
      </c>
      <c r="F15" s="26"/>
      <c r="K15" s="7"/>
      <c r="L15" s="8"/>
      <c r="M15" s="7"/>
    </row>
    <row r="16" spans="1:13" ht="12.75">
      <c r="A16">
        <v>15</v>
      </c>
      <c r="C16" s="7">
        <f t="shared" si="0"/>
        <v>5890</v>
      </c>
      <c r="D16" s="8">
        <f t="shared" si="1"/>
        <v>617.3639019833282</v>
      </c>
      <c r="E16" s="7">
        <f t="shared" si="2"/>
        <v>-4.3573176989157245</v>
      </c>
      <c r="F16" s="26"/>
      <c r="K16" s="7"/>
      <c r="L16" s="8"/>
      <c r="M16" s="7"/>
    </row>
    <row r="17" spans="1:13" ht="12.75">
      <c r="A17">
        <v>16</v>
      </c>
      <c r="C17" s="7">
        <f t="shared" si="0"/>
        <v>5902.5</v>
      </c>
      <c r="D17" s="8">
        <f t="shared" si="1"/>
        <v>616.8104582332588</v>
      </c>
      <c r="E17" s="7">
        <f t="shared" si="2"/>
        <v>-4.497782302194558</v>
      </c>
      <c r="F17" s="26"/>
      <c r="K17" s="7"/>
      <c r="L17" s="8"/>
      <c r="M17" s="7"/>
    </row>
    <row r="18" spans="1:13" ht="12.75">
      <c r="A18">
        <v>17</v>
      </c>
      <c r="C18" s="7">
        <f t="shared" si="0"/>
        <v>5915</v>
      </c>
      <c r="D18" s="8">
        <f t="shared" si="1"/>
        <v>616.2394564077796</v>
      </c>
      <c r="E18" s="7">
        <f t="shared" si="2"/>
        <v>-4.638246905473393</v>
      </c>
      <c r="F18" s="26"/>
      <c r="K18" s="7"/>
      <c r="L18" s="8"/>
      <c r="M18" s="7"/>
    </row>
    <row r="19" spans="1:13" ht="12.75">
      <c r="A19">
        <v>18</v>
      </c>
      <c r="C19" s="7">
        <f t="shared" si="0"/>
        <v>5927.5</v>
      </c>
      <c r="D19" s="8">
        <f t="shared" si="1"/>
        <v>615.6508965068905</v>
      </c>
      <c r="E19" s="7">
        <f t="shared" si="2"/>
        <v>-4.7787115087522265</v>
      </c>
      <c r="F19" s="26"/>
      <c r="K19" s="7"/>
      <c r="L19" s="8"/>
      <c r="M19" s="7"/>
    </row>
    <row r="20" spans="1:13" ht="12.75">
      <c r="A20">
        <v>19</v>
      </c>
      <c r="C20" s="7">
        <f t="shared" si="0"/>
        <v>5940</v>
      </c>
      <c r="D20" s="8">
        <f t="shared" si="1"/>
        <v>615.0447785305915</v>
      </c>
      <c r="E20" s="7">
        <f t="shared" si="2"/>
        <v>-4.91917611203106</v>
      </c>
      <c r="F20" s="26"/>
      <c r="K20" s="7"/>
      <c r="L20" s="8"/>
      <c r="M20" s="7"/>
    </row>
    <row r="21" spans="1:13" ht="12.75">
      <c r="A21">
        <v>20</v>
      </c>
      <c r="C21" s="7">
        <f t="shared" si="0"/>
        <v>5952.5</v>
      </c>
      <c r="D21" s="8">
        <f t="shared" si="1"/>
        <v>614.4211024788826</v>
      </c>
      <c r="E21" s="7">
        <f t="shared" si="2"/>
        <v>-5.059640715309895</v>
      </c>
      <c r="F21" s="26"/>
      <c r="K21" s="7"/>
      <c r="L21" s="8"/>
      <c r="M21" s="7"/>
    </row>
    <row r="22" spans="1:13" ht="12.75">
      <c r="A22" s="1">
        <v>21</v>
      </c>
      <c r="B22" s="1" t="s">
        <v>18</v>
      </c>
      <c r="C22" s="5">
        <f>Data!C4+Data!F4/2</f>
        <v>5965</v>
      </c>
      <c r="D22" s="6">
        <f>Data!D4+(Data!E4/100*(Detail!C22-Data!C4))</f>
        <v>613.7798683517641</v>
      </c>
      <c r="E22" s="5">
        <f>Data!E4</f>
        <v>-5.2001053185887285</v>
      </c>
      <c r="F22" s="26"/>
      <c r="K22" s="5"/>
      <c r="L22" s="6"/>
      <c r="M22" s="5"/>
    </row>
    <row r="23" spans="1:13" ht="12.75">
      <c r="A23" s="1">
        <v>22</v>
      </c>
      <c r="B23" s="1" t="s">
        <v>19</v>
      </c>
      <c r="C23" s="5">
        <f>Data!C5-Data!F5/2</f>
        <v>6069.8</v>
      </c>
      <c r="D23" s="6">
        <f>Data!D5-Data!E4/100*Data!F5/2</f>
        <v>608.3301579778831</v>
      </c>
      <c r="E23" s="5">
        <f>E22</f>
        <v>-5.2001053185887285</v>
      </c>
      <c r="F23" s="26"/>
      <c r="K23" s="5"/>
      <c r="L23" s="6"/>
      <c r="M23" s="5"/>
    </row>
    <row r="24" spans="1:13" ht="12.75">
      <c r="A24">
        <v>23</v>
      </c>
      <c r="C24" s="7">
        <f aca="true" t="shared" si="3" ref="C24:C42">C23+($C$43-$C$23)/20</f>
        <v>6084.8</v>
      </c>
      <c r="D24" s="8">
        <f aca="true" t="shared" si="4" ref="D24:D42">D$23+($E$43-$E$23)/100*(C24-$C$23)^2/2/($C$43-$C$23)+$E$23/100*(C24-$C$23)</f>
        <v>607.5840910622092</v>
      </c>
      <c r="E24" s="7">
        <f aca="true" t="shared" si="5" ref="E24:E42">$E$23+($E$43-$E$23)*(C24-$C$23)/($C$43-$C$23)</f>
        <v>-4.747453557063735</v>
      </c>
      <c r="F24" s="26"/>
      <c r="K24" s="7"/>
      <c r="L24" s="8"/>
      <c r="M24" s="7"/>
    </row>
    <row r="25" spans="1:13" ht="12.75">
      <c r="A25">
        <v>24</v>
      </c>
      <c r="C25" s="7">
        <f t="shared" si="3"/>
        <v>6099.8</v>
      </c>
      <c r="D25" s="8">
        <f t="shared" si="4"/>
        <v>606.9059219107639</v>
      </c>
      <c r="E25" s="7">
        <f t="shared" si="5"/>
        <v>-4.294801795538741</v>
      </c>
      <c r="F25" s="26"/>
      <c r="K25" s="7"/>
      <c r="L25" s="8"/>
      <c r="M25" s="7"/>
    </row>
    <row r="26" spans="1:13" ht="12.75">
      <c r="A26">
        <v>25</v>
      </c>
      <c r="C26" s="7">
        <f t="shared" si="3"/>
        <v>6114.8</v>
      </c>
      <c r="D26" s="8">
        <f t="shared" si="4"/>
        <v>606.2956505235476</v>
      </c>
      <c r="E26" s="7">
        <f t="shared" si="5"/>
        <v>-3.842150034013747</v>
      </c>
      <c r="F26" s="26"/>
      <c r="K26" s="7"/>
      <c r="L26" s="8"/>
      <c r="M26" s="7"/>
    </row>
    <row r="27" spans="1:13" ht="12.75">
      <c r="A27">
        <v>26</v>
      </c>
      <c r="C27" s="7">
        <f t="shared" si="3"/>
        <v>6129.8</v>
      </c>
      <c r="D27" s="8">
        <f t="shared" si="4"/>
        <v>605.7532769005599</v>
      </c>
      <c r="E27" s="7">
        <f t="shared" si="5"/>
        <v>-3.389498272488753</v>
      </c>
      <c r="F27" s="26"/>
      <c r="K27" s="7"/>
      <c r="L27" s="8"/>
      <c r="M27" s="7"/>
    </row>
    <row r="28" spans="1:13" ht="12.75">
      <c r="A28">
        <v>27</v>
      </c>
      <c r="C28" s="7">
        <f t="shared" si="3"/>
        <v>6144.8</v>
      </c>
      <c r="D28" s="8">
        <f t="shared" si="4"/>
        <v>605.2788010418009</v>
      </c>
      <c r="E28" s="7">
        <f t="shared" si="5"/>
        <v>-2.9368465109637594</v>
      </c>
      <c r="F28" s="26"/>
      <c r="K28" s="7"/>
      <c r="L28" s="8"/>
      <c r="M28" s="7"/>
    </row>
    <row r="29" spans="1:13" ht="12.75">
      <c r="A29">
        <v>28</v>
      </c>
      <c r="C29" s="7">
        <f t="shared" si="3"/>
        <v>6159.8</v>
      </c>
      <c r="D29" s="8">
        <f t="shared" si="4"/>
        <v>604.8722229472706</v>
      </c>
      <c r="E29" s="7">
        <f t="shared" si="5"/>
        <v>-2.4841947494387657</v>
      </c>
      <c r="F29" s="26"/>
      <c r="K29" s="7"/>
      <c r="L29" s="8"/>
      <c r="M29" s="7"/>
    </row>
    <row r="30" spans="1:13" ht="12.75">
      <c r="A30">
        <v>29</v>
      </c>
      <c r="C30" s="7">
        <f t="shared" si="3"/>
        <v>6174.8</v>
      </c>
      <c r="D30" s="8">
        <f t="shared" si="4"/>
        <v>604.5335426169694</v>
      </c>
      <c r="E30" s="7">
        <f t="shared" si="5"/>
        <v>-2.031542987913772</v>
      </c>
      <c r="F30" s="26"/>
      <c r="K30" s="7"/>
      <c r="L30" s="8"/>
      <c r="M30" s="7"/>
    </row>
    <row r="31" spans="1:13" ht="12.75">
      <c r="A31">
        <v>30</v>
      </c>
      <c r="C31" s="7">
        <f t="shared" si="3"/>
        <v>6189.8</v>
      </c>
      <c r="D31" s="8">
        <f t="shared" si="4"/>
        <v>604.2627600508966</v>
      </c>
      <c r="E31" s="7">
        <f t="shared" si="5"/>
        <v>-1.578891226388778</v>
      </c>
      <c r="F31" s="26"/>
      <c r="K31" s="7"/>
      <c r="L31" s="8"/>
      <c r="M31" s="7"/>
    </row>
    <row r="32" spans="1:13" ht="12.75">
      <c r="A32">
        <v>31</v>
      </c>
      <c r="C32" s="7">
        <f t="shared" si="3"/>
        <v>6204.8</v>
      </c>
      <c r="D32" s="8">
        <f t="shared" si="4"/>
        <v>604.0598752490527</v>
      </c>
      <c r="E32" s="7">
        <f t="shared" si="5"/>
        <v>-1.126239464863784</v>
      </c>
      <c r="F32" s="26"/>
      <c r="K32" s="7"/>
      <c r="L32" s="8"/>
      <c r="M32" s="7"/>
    </row>
    <row r="33" spans="1:13" ht="12.75">
      <c r="A33">
        <v>32</v>
      </c>
      <c r="C33" s="7">
        <f t="shared" si="3"/>
        <v>6219.8</v>
      </c>
      <c r="D33" s="8">
        <f t="shared" si="4"/>
        <v>603.9248882114374</v>
      </c>
      <c r="E33" s="7">
        <f t="shared" si="5"/>
        <v>-0.6735877033387903</v>
      </c>
      <c r="F33" s="26"/>
      <c r="K33" s="7"/>
      <c r="L33" s="8"/>
      <c r="M33" s="7"/>
    </row>
    <row r="34" spans="1:13" ht="12.75">
      <c r="A34">
        <v>33</v>
      </c>
      <c r="C34" s="7">
        <f t="shared" si="3"/>
        <v>6234.8</v>
      </c>
      <c r="D34" s="8">
        <f t="shared" si="4"/>
        <v>603.857798938051</v>
      </c>
      <c r="E34" s="7">
        <f t="shared" si="5"/>
        <v>-0.2209359418137966</v>
      </c>
      <c r="F34" s="26"/>
      <c r="K34" s="7"/>
      <c r="L34" s="8"/>
      <c r="M34" s="7"/>
    </row>
    <row r="35" spans="1:13" ht="12.75">
      <c r="A35">
        <v>34</v>
      </c>
      <c r="C35" s="7">
        <f t="shared" si="3"/>
        <v>6249.8</v>
      </c>
      <c r="D35" s="8">
        <f t="shared" si="4"/>
        <v>603.8586074288934</v>
      </c>
      <c r="E35" s="7">
        <f t="shared" si="5"/>
        <v>0.23171581971119704</v>
      </c>
      <c r="F35" s="26"/>
      <c r="K35" s="7"/>
      <c r="L35" s="8"/>
      <c r="M35" s="7"/>
    </row>
    <row r="36" spans="1:13" ht="12.75">
      <c r="A36">
        <v>35</v>
      </c>
      <c r="C36" s="7">
        <f t="shared" si="3"/>
        <v>6264.8</v>
      </c>
      <c r="D36" s="8">
        <f t="shared" si="4"/>
        <v>603.9273136839644</v>
      </c>
      <c r="E36" s="7">
        <f t="shared" si="5"/>
        <v>0.6843675812361916</v>
      </c>
      <c r="F36" s="26"/>
      <c r="K36" s="7"/>
      <c r="L36" s="8"/>
      <c r="M36" s="7"/>
    </row>
    <row r="37" spans="1:13" ht="12.75">
      <c r="A37">
        <v>36</v>
      </c>
      <c r="C37" s="7">
        <f t="shared" si="3"/>
        <v>6279.8</v>
      </c>
      <c r="D37" s="8">
        <f t="shared" si="4"/>
        <v>604.0639177032641</v>
      </c>
      <c r="E37" s="7">
        <f t="shared" si="5"/>
        <v>1.1370193427611843</v>
      </c>
      <c r="F37" s="26"/>
      <c r="K37" s="7"/>
      <c r="L37" s="8"/>
      <c r="M37" s="7"/>
    </row>
    <row r="38" spans="1:13" ht="12.75">
      <c r="A38">
        <v>37</v>
      </c>
      <c r="C38" s="7">
        <f t="shared" si="3"/>
        <v>6294.8</v>
      </c>
      <c r="D38" s="8">
        <f t="shared" si="4"/>
        <v>604.2684194867928</v>
      </c>
      <c r="E38" s="7">
        <f t="shared" si="5"/>
        <v>1.5896711042861789</v>
      </c>
      <c r="F38" s="26"/>
      <c r="K38" s="7"/>
      <c r="L38" s="8"/>
      <c r="M38" s="7"/>
    </row>
    <row r="39" spans="1:13" ht="12.75">
      <c r="A39">
        <v>38</v>
      </c>
      <c r="C39" s="7">
        <f t="shared" si="3"/>
        <v>6309.8</v>
      </c>
      <c r="D39" s="8">
        <f t="shared" si="4"/>
        <v>604.54081903455</v>
      </c>
      <c r="E39" s="7">
        <f t="shared" si="5"/>
        <v>2.0423228658111725</v>
      </c>
      <c r="F39" s="26"/>
      <c r="K39" s="7"/>
      <c r="L39" s="8"/>
      <c r="M39" s="7"/>
    </row>
    <row r="40" spans="1:13" ht="12.75">
      <c r="A40">
        <v>39</v>
      </c>
      <c r="C40" s="7">
        <f t="shared" si="3"/>
        <v>6324.8</v>
      </c>
      <c r="D40" s="8">
        <f t="shared" si="4"/>
        <v>604.881116346536</v>
      </c>
      <c r="E40" s="7">
        <f t="shared" si="5"/>
        <v>2.494974627336166</v>
      </c>
      <c r="F40" s="26"/>
      <c r="K40" s="7"/>
      <c r="L40" s="8"/>
      <c r="M40" s="7"/>
    </row>
    <row r="41" spans="1:13" ht="12.75">
      <c r="A41">
        <v>40</v>
      </c>
      <c r="C41" s="7">
        <f t="shared" si="3"/>
        <v>6339.8</v>
      </c>
      <c r="D41" s="8">
        <f t="shared" si="4"/>
        <v>605.2893114227509</v>
      </c>
      <c r="E41" s="7">
        <f t="shared" si="5"/>
        <v>2.9476263888611607</v>
      </c>
      <c r="F41" s="26"/>
      <c r="K41" s="7"/>
      <c r="L41" s="8"/>
      <c r="M41" s="7"/>
    </row>
    <row r="42" spans="1:13" ht="12.75">
      <c r="A42">
        <v>41</v>
      </c>
      <c r="C42" s="7">
        <f t="shared" si="3"/>
        <v>6354.8</v>
      </c>
      <c r="D42" s="8">
        <f t="shared" si="4"/>
        <v>605.7654042631945</v>
      </c>
      <c r="E42" s="7">
        <f t="shared" si="5"/>
        <v>3.4002781503861543</v>
      </c>
      <c r="F42" s="26"/>
      <c r="K42" s="7"/>
      <c r="L42" s="8"/>
      <c r="M42" s="7"/>
    </row>
    <row r="43" spans="1:13" ht="12.75">
      <c r="A43" s="1">
        <v>42</v>
      </c>
      <c r="B43" s="1" t="s">
        <v>18</v>
      </c>
      <c r="C43" s="5">
        <f>Data!C5+Data!F5/2</f>
        <v>6369.8</v>
      </c>
      <c r="D43" s="6">
        <f>Data!D5+Data!E5/100*Data!F5/2</f>
        <v>606.3093948678667</v>
      </c>
      <c r="E43" s="5">
        <f>Data!E5</f>
        <v>3.8529299119111475</v>
      </c>
      <c r="F43" s="26"/>
      <c r="K43" s="5"/>
      <c r="L43" s="6"/>
      <c r="M43" s="5"/>
    </row>
    <row r="44" spans="1:13" ht="12.75">
      <c r="A44" s="1">
        <v>43</v>
      </c>
      <c r="B44" s="1" t="s">
        <v>20</v>
      </c>
      <c r="C44" s="5">
        <f>Data!C6-Data!F6/2</f>
        <v>6592</v>
      </c>
      <c r="D44" s="6">
        <f>Data!D6-Data!E5/100*Data!F6/2</f>
        <v>614.8706051321333</v>
      </c>
      <c r="E44" s="5">
        <f>Data!E5</f>
        <v>3.8529299119111475</v>
      </c>
      <c r="F44" s="26"/>
      <c r="K44" s="5"/>
      <c r="L44" s="6"/>
      <c r="M44" s="5"/>
    </row>
    <row r="45" spans="1:13" ht="12.75">
      <c r="A45">
        <v>44</v>
      </c>
      <c r="C45" s="7">
        <f aca="true" t="shared" si="6" ref="C45:C63">C44+($C$64-$C$44)/20</f>
        <v>6607</v>
      </c>
      <c r="D45" s="8">
        <f aca="true" t="shared" si="7" ref="D45:D63">IF(C$64-C$44&gt;0,D$44+($E$64-$E$44)/100*(C45-$C$44)^2/2/($C$64-$C$44)+$E$44/100*(C45-$C$44),D$44)</f>
        <v>615.4361471749694</v>
      </c>
      <c r="E45" s="7">
        <f aca="true" t="shared" si="8" ref="E45:E63">IF(C$64-C$44&gt;0,$E$44+($E$64-$E$44)*(C45-$C$44)/($C$64-$C$44),E$44)</f>
        <v>3.687630659236604</v>
      </c>
      <c r="F45" s="26"/>
      <c r="K45" s="7"/>
      <c r="L45" s="8"/>
      <c r="M45" s="7"/>
    </row>
    <row r="46" spans="1:13" ht="12.75">
      <c r="A46">
        <v>45</v>
      </c>
      <c r="C46" s="7">
        <f t="shared" si="6"/>
        <v>6622</v>
      </c>
      <c r="D46" s="8">
        <f t="shared" si="7"/>
        <v>615.9768943299042</v>
      </c>
      <c r="E46" s="7">
        <f t="shared" si="8"/>
        <v>3.522331406562061</v>
      </c>
      <c r="F46" s="26"/>
      <c r="K46" s="7"/>
      <c r="L46" s="8"/>
      <c r="M46" s="7"/>
    </row>
    <row r="47" spans="1:13" ht="12.75">
      <c r="A47">
        <v>46</v>
      </c>
      <c r="C47" s="7">
        <f t="shared" si="6"/>
        <v>6637</v>
      </c>
      <c r="D47" s="8">
        <f t="shared" si="7"/>
        <v>616.492846596938</v>
      </c>
      <c r="E47" s="7">
        <f t="shared" si="8"/>
        <v>3.357032153887517</v>
      </c>
      <c r="F47" s="26"/>
      <c r="K47" s="7"/>
      <c r="L47" s="8"/>
      <c r="M47" s="7"/>
    </row>
    <row r="48" spans="1:13" ht="12.75">
      <c r="A48">
        <v>47</v>
      </c>
      <c r="C48" s="7">
        <f t="shared" si="6"/>
        <v>6652</v>
      </c>
      <c r="D48" s="8">
        <f t="shared" si="7"/>
        <v>616.9840039760705</v>
      </c>
      <c r="E48" s="7">
        <f t="shared" si="8"/>
        <v>3.191732901212974</v>
      </c>
      <c r="F48" s="26"/>
      <c r="K48" s="7"/>
      <c r="L48" s="8"/>
      <c r="M48" s="7"/>
    </row>
    <row r="49" spans="1:13" ht="12.75">
      <c r="A49">
        <v>48</v>
      </c>
      <c r="C49" s="7">
        <f t="shared" si="6"/>
        <v>6667</v>
      </c>
      <c r="D49" s="8">
        <f t="shared" si="7"/>
        <v>617.4503664673019</v>
      </c>
      <c r="E49" s="7">
        <f t="shared" si="8"/>
        <v>3.0264336485384304</v>
      </c>
      <c r="F49" s="26"/>
      <c r="K49" s="7"/>
      <c r="L49" s="8"/>
      <c r="M49" s="7"/>
    </row>
    <row r="50" spans="1:13" ht="12.75">
      <c r="A50">
        <v>49</v>
      </c>
      <c r="C50" s="7">
        <f t="shared" si="6"/>
        <v>6682</v>
      </c>
      <c r="D50" s="8">
        <f t="shared" si="7"/>
        <v>617.891934070632</v>
      </c>
      <c r="E50" s="7">
        <f t="shared" si="8"/>
        <v>2.8611343958638873</v>
      </c>
      <c r="F50" s="26"/>
      <c r="K50" s="7"/>
      <c r="L50" s="8"/>
      <c r="M50" s="7"/>
    </row>
    <row r="51" spans="1:13" ht="12.75">
      <c r="A51">
        <v>50</v>
      </c>
      <c r="C51" s="7">
        <f t="shared" si="6"/>
        <v>6697</v>
      </c>
      <c r="D51" s="8">
        <f t="shared" si="7"/>
        <v>618.3087067860611</v>
      </c>
      <c r="E51" s="7">
        <f t="shared" si="8"/>
        <v>2.6958351431893437</v>
      </c>
      <c r="F51" s="26"/>
      <c r="K51" s="7"/>
      <c r="L51" s="8"/>
      <c r="M51" s="7"/>
    </row>
    <row r="52" spans="1:13" ht="12.75">
      <c r="A52">
        <v>51</v>
      </c>
      <c r="C52" s="7">
        <f t="shared" si="6"/>
        <v>6712</v>
      </c>
      <c r="D52" s="8">
        <f t="shared" si="7"/>
        <v>618.7006846135889</v>
      </c>
      <c r="E52" s="7">
        <f t="shared" si="8"/>
        <v>2.5305358905148</v>
      </c>
      <c r="F52" s="26"/>
      <c r="K52" s="7"/>
      <c r="L52" s="8"/>
      <c r="M52" s="7"/>
    </row>
    <row r="53" spans="1:13" ht="12.75">
      <c r="A53">
        <v>52</v>
      </c>
      <c r="C53" s="7">
        <f t="shared" si="6"/>
        <v>6727</v>
      </c>
      <c r="D53" s="8">
        <f t="shared" si="7"/>
        <v>619.0678675532155</v>
      </c>
      <c r="E53" s="7">
        <f t="shared" si="8"/>
        <v>2.3652366378402565</v>
      </c>
      <c r="F53" s="26"/>
      <c r="K53" s="7"/>
      <c r="L53" s="8"/>
      <c r="M53" s="7"/>
    </row>
    <row r="54" spans="1:13" ht="12.75">
      <c r="A54">
        <v>53</v>
      </c>
      <c r="C54" s="7">
        <f t="shared" si="6"/>
        <v>6742</v>
      </c>
      <c r="D54" s="8">
        <f t="shared" si="7"/>
        <v>619.4102556049409</v>
      </c>
      <c r="E54" s="7">
        <f t="shared" si="8"/>
        <v>2.1999373851657134</v>
      </c>
      <c r="F54" s="26"/>
      <c r="K54" s="7"/>
      <c r="L54" s="8"/>
      <c r="M54" s="7"/>
    </row>
    <row r="55" spans="1:13" ht="12.75">
      <c r="A55">
        <v>54</v>
      </c>
      <c r="C55" s="7">
        <f t="shared" si="6"/>
        <v>6757</v>
      </c>
      <c r="D55" s="8">
        <f t="shared" si="7"/>
        <v>619.7278487687652</v>
      </c>
      <c r="E55" s="7">
        <f t="shared" si="8"/>
        <v>2.03463813249117</v>
      </c>
      <c r="F55" s="26"/>
      <c r="K55" s="7"/>
      <c r="L55" s="8"/>
      <c r="M55" s="7"/>
    </row>
    <row r="56" spans="1:13" ht="12.75">
      <c r="A56">
        <v>55</v>
      </c>
      <c r="C56" s="7">
        <f t="shared" si="6"/>
        <v>6772</v>
      </c>
      <c r="D56" s="8">
        <f t="shared" si="7"/>
        <v>620.0206470446883</v>
      </c>
      <c r="E56" s="7">
        <f t="shared" si="8"/>
        <v>1.8693388798166266</v>
      </c>
      <c r="F56" s="26"/>
      <c r="K56" s="7"/>
      <c r="L56" s="8"/>
      <c r="M56" s="7"/>
    </row>
    <row r="57" spans="1:13" ht="12.75">
      <c r="A57">
        <v>56</v>
      </c>
      <c r="C57" s="7">
        <f t="shared" si="6"/>
        <v>6787</v>
      </c>
      <c r="D57" s="8">
        <f t="shared" si="7"/>
        <v>620.2886504327101</v>
      </c>
      <c r="E57" s="7">
        <f t="shared" si="8"/>
        <v>1.704039627142083</v>
      </c>
      <c r="F57" s="26"/>
      <c r="K57" s="7"/>
      <c r="L57" s="8"/>
      <c r="M57" s="7"/>
    </row>
    <row r="58" spans="1:13" ht="12.75">
      <c r="A58">
        <v>57</v>
      </c>
      <c r="C58" s="7">
        <f t="shared" si="6"/>
        <v>6802</v>
      </c>
      <c r="D58" s="8">
        <f t="shared" si="7"/>
        <v>620.5318589328309</v>
      </c>
      <c r="E58" s="7">
        <f t="shared" si="8"/>
        <v>1.5387403744675399</v>
      </c>
      <c r="F58" s="26"/>
      <c r="K58" s="7"/>
      <c r="L58" s="8"/>
      <c r="M58" s="7"/>
    </row>
    <row r="59" spans="1:13" ht="12.75">
      <c r="A59">
        <v>58</v>
      </c>
      <c r="C59" s="7">
        <f t="shared" si="6"/>
        <v>6817</v>
      </c>
      <c r="D59" s="8">
        <f t="shared" si="7"/>
        <v>620.7502725450505</v>
      </c>
      <c r="E59" s="7">
        <f t="shared" si="8"/>
        <v>1.3734411217929963</v>
      </c>
      <c r="F59" s="26"/>
      <c r="K59" s="7"/>
      <c r="L59" s="8"/>
      <c r="M59" s="7"/>
    </row>
    <row r="60" spans="1:13" ht="12.75">
      <c r="A60">
        <v>59</v>
      </c>
      <c r="C60" s="7">
        <f t="shared" si="6"/>
        <v>6832</v>
      </c>
      <c r="D60" s="8">
        <f t="shared" si="7"/>
        <v>620.9438912693688</v>
      </c>
      <c r="E60" s="7">
        <f t="shared" si="8"/>
        <v>1.2081418691184531</v>
      </c>
      <c r="F60" s="26"/>
      <c r="K60" s="7"/>
      <c r="L60" s="8"/>
      <c r="M60" s="7"/>
    </row>
    <row r="61" spans="1:13" ht="12.75">
      <c r="A61">
        <v>60</v>
      </c>
      <c r="C61" s="7">
        <f t="shared" si="6"/>
        <v>6847</v>
      </c>
      <c r="D61" s="8">
        <f t="shared" si="7"/>
        <v>621.1127151057859</v>
      </c>
      <c r="E61" s="7">
        <f t="shared" si="8"/>
        <v>1.0428426164439095</v>
      </c>
      <c r="F61" s="26"/>
      <c r="K61" s="7"/>
      <c r="L61" s="8"/>
      <c r="M61" s="7"/>
    </row>
    <row r="62" spans="1:13" ht="12.75">
      <c r="A62">
        <v>61</v>
      </c>
      <c r="C62" s="7">
        <f t="shared" si="6"/>
        <v>6862</v>
      </c>
      <c r="D62" s="8">
        <f t="shared" si="7"/>
        <v>621.256744054302</v>
      </c>
      <c r="E62" s="7">
        <f t="shared" si="8"/>
        <v>0.8775433637693659</v>
      </c>
      <c r="F62" s="26"/>
      <c r="K62" s="7"/>
      <c r="L62" s="8"/>
      <c r="M62" s="7"/>
    </row>
    <row r="63" spans="1:13" ht="12.75">
      <c r="A63">
        <v>62</v>
      </c>
      <c r="C63" s="7">
        <f t="shared" si="6"/>
        <v>6877</v>
      </c>
      <c r="D63" s="8">
        <f t="shared" si="7"/>
        <v>621.3759781149168</v>
      </c>
      <c r="E63" s="7">
        <f t="shared" si="8"/>
        <v>0.7122441110948228</v>
      </c>
      <c r="F63" s="26"/>
      <c r="K63" s="7"/>
      <c r="L63" s="8"/>
      <c r="M63" s="7"/>
    </row>
    <row r="64" spans="1:13" ht="12.75">
      <c r="A64" s="1">
        <v>63</v>
      </c>
      <c r="B64" s="1" t="s">
        <v>18</v>
      </c>
      <c r="C64" s="5">
        <f>Data!C6+Data!F6/2</f>
        <v>6892</v>
      </c>
      <c r="D64" s="6">
        <f>Data!D6+Data!E6/100*Data!F6/2</f>
        <v>621.4704172876304</v>
      </c>
      <c r="E64" s="5">
        <f>Data!E6</f>
        <v>0.5469448584202791</v>
      </c>
      <c r="F64" s="26"/>
      <c r="K64" s="5"/>
      <c r="L64" s="6"/>
      <c r="M64" s="5"/>
    </row>
    <row r="65" spans="1:13" ht="12.75">
      <c r="A65" s="1">
        <v>64</v>
      </c>
      <c r="B65" s="1" t="s">
        <v>21</v>
      </c>
      <c r="C65" s="5">
        <f>Data!C7-Data!F7/2</f>
        <v>7300.5</v>
      </c>
      <c r="D65" s="6">
        <f>Data!D7-Data!E6/100*Data!F7/2</f>
        <v>623.7046870342772</v>
      </c>
      <c r="E65" s="5">
        <f>Data!E6</f>
        <v>0.5469448584202791</v>
      </c>
      <c r="F65" s="26"/>
      <c r="K65" s="5"/>
      <c r="L65" s="6"/>
      <c r="M65" s="5"/>
    </row>
    <row r="66" spans="1:13" ht="12.75">
      <c r="A66">
        <v>65</v>
      </c>
      <c r="C66" s="7">
        <f aca="true" t="shared" si="9" ref="C66:C84">C65+($C$85-$C$65)/20</f>
        <v>7311.75</v>
      </c>
      <c r="D66" s="8">
        <f aca="true" t="shared" si="10" ref="D66:D84">D$65+($E$85-$E$65)/100*(C66-$C$65)^2/2/($C$85-$C$65)+$E$65/100*(C66-$C$65)</f>
        <v>623.759140887753</v>
      </c>
      <c r="E66" s="7">
        <f aca="true" t="shared" si="11" ref="E66:E84">$E$65+($E$85-$E$65)*(C66-$C$65)/($C$85-$C$65)</f>
        <v>0.42112364781524336</v>
      </c>
      <c r="F66" s="26"/>
      <c r="K66" s="7"/>
      <c r="L66" s="8"/>
      <c r="M66" s="7"/>
    </row>
    <row r="67" spans="1:13" ht="12.75">
      <c r="A67">
        <v>66</v>
      </c>
      <c r="C67" s="7">
        <f t="shared" si="9"/>
        <v>7323</v>
      </c>
      <c r="D67" s="8">
        <f t="shared" si="10"/>
        <v>623.7994398550356</v>
      </c>
      <c r="E67" s="7">
        <f t="shared" si="11"/>
        <v>0.2953024372102076</v>
      </c>
      <c r="F67" s="26"/>
      <c r="K67" s="7"/>
      <c r="L67" s="8"/>
      <c r="M67" s="7"/>
    </row>
    <row r="68" spans="1:13" ht="12.75">
      <c r="A68">
        <v>67</v>
      </c>
      <c r="C68" s="7">
        <f t="shared" si="9"/>
        <v>7334.25</v>
      </c>
      <c r="D68" s="8">
        <f t="shared" si="10"/>
        <v>623.8255839361253</v>
      </c>
      <c r="E68" s="7">
        <f t="shared" si="11"/>
        <v>0.1694812266051719</v>
      </c>
      <c r="F68" s="26"/>
      <c r="K68" s="7"/>
      <c r="L68" s="8"/>
      <c r="M68" s="7"/>
    </row>
    <row r="69" spans="1:13" ht="12.75">
      <c r="A69">
        <v>68</v>
      </c>
      <c r="C69" s="7">
        <f t="shared" si="9"/>
        <v>7345.5</v>
      </c>
      <c r="D69" s="8">
        <f t="shared" si="10"/>
        <v>623.8375731310217</v>
      </c>
      <c r="E69" s="7">
        <f t="shared" si="11"/>
        <v>0.04366001600013614</v>
      </c>
      <c r="F69" s="26"/>
      <c r="K69" s="7"/>
      <c r="L69" s="8"/>
      <c r="M69" s="7"/>
    </row>
    <row r="70" spans="1:13" ht="12.75">
      <c r="A70">
        <v>69</v>
      </c>
      <c r="C70" s="7">
        <f t="shared" si="9"/>
        <v>7356.75</v>
      </c>
      <c r="D70" s="8">
        <f t="shared" si="10"/>
        <v>623.8354074397253</v>
      </c>
      <c r="E70" s="7">
        <f t="shared" si="11"/>
        <v>-0.08216119460489957</v>
      </c>
      <c r="F70" s="26"/>
      <c r="K70" s="7"/>
      <c r="L70" s="8"/>
      <c r="M70" s="7"/>
    </row>
    <row r="71" spans="1:13" ht="12.75">
      <c r="A71">
        <v>70</v>
      </c>
      <c r="C71" s="7">
        <f t="shared" si="9"/>
        <v>7368</v>
      </c>
      <c r="D71" s="8">
        <f t="shared" si="10"/>
        <v>623.8190868622356</v>
      </c>
      <c r="E71" s="7">
        <f t="shared" si="11"/>
        <v>-0.20798240520993527</v>
      </c>
      <c r="F71" s="26"/>
      <c r="K71" s="7"/>
      <c r="L71" s="8"/>
      <c r="M71" s="7"/>
    </row>
    <row r="72" spans="1:13" ht="12.75">
      <c r="A72">
        <v>71</v>
      </c>
      <c r="C72" s="7">
        <f t="shared" si="9"/>
        <v>7379.25</v>
      </c>
      <c r="D72" s="8">
        <f t="shared" si="10"/>
        <v>623.788611398553</v>
      </c>
      <c r="E72" s="7">
        <f t="shared" si="11"/>
        <v>-0.333803615814971</v>
      </c>
      <c r="F72" s="26"/>
      <c r="K72" s="7"/>
      <c r="L72" s="8"/>
      <c r="M72" s="7"/>
    </row>
    <row r="73" spans="1:13" ht="12.75">
      <c r="A73">
        <v>72</v>
      </c>
      <c r="C73" s="7">
        <f t="shared" si="9"/>
        <v>7390.5</v>
      </c>
      <c r="D73" s="8">
        <f t="shared" si="10"/>
        <v>623.7439810486774</v>
      </c>
      <c r="E73" s="7">
        <f t="shared" si="11"/>
        <v>-0.4596248264200068</v>
      </c>
      <c r="F73" s="26"/>
      <c r="K73" s="7"/>
      <c r="L73" s="8"/>
      <c r="M73" s="7"/>
    </row>
    <row r="74" spans="1:13" ht="12.75">
      <c r="A74">
        <v>73</v>
      </c>
      <c r="C74" s="7">
        <f t="shared" si="9"/>
        <v>7401.75</v>
      </c>
      <c r="D74" s="8">
        <f t="shared" si="10"/>
        <v>623.6851958126085</v>
      </c>
      <c r="E74" s="7">
        <f t="shared" si="11"/>
        <v>-0.5854460370250426</v>
      </c>
      <c r="F74" s="26"/>
      <c r="K74" s="7"/>
      <c r="L74" s="8"/>
      <c r="M74" s="7"/>
    </row>
    <row r="75" spans="1:13" ht="12.75">
      <c r="A75">
        <v>74</v>
      </c>
      <c r="C75" s="7">
        <f t="shared" si="9"/>
        <v>7413</v>
      </c>
      <c r="D75" s="8">
        <f t="shared" si="10"/>
        <v>623.6122556903467</v>
      </c>
      <c r="E75" s="7">
        <f t="shared" si="11"/>
        <v>-0.7112672476300782</v>
      </c>
      <c r="F75" s="26"/>
      <c r="K75" s="7"/>
      <c r="L75" s="8"/>
      <c r="M75" s="7"/>
    </row>
    <row r="76" spans="1:13" ht="12.75">
      <c r="A76">
        <v>75</v>
      </c>
      <c r="C76" s="7">
        <f t="shared" si="9"/>
        <v>7424.25</v>
      </c>
      <c r="D76" s="8">
        <f t="shared" si="10"/>
        <v>623.5251606818917</v>
      </c>
      <c r="E76" s="7">
        <f t="shared" si="11"/>
        <v>-0.837088458235114</v>
      </c>
      <c r="F76" s="26"/>
      <c r="K76" s="7"/>
      <c r="L76" s="8"/>
      <c r="M76" s="7"/>
    </row>
    <row r="77" spans="1:13" ht="12.75">
      <c r="A77">
        <v>76</v>
      </c>
      <c r="C77" s="7">
        <f t="shared" si="9"/>
        <v>7435.5</v>
      </c>
      <c r="D77" s="8">
        <f t="shared" si="10"/>
        <v>623.4239107872437</v>
      </c>
      <c r="E77" s="7">
        <f t="shared" si="11"/>
        <v>-0.9629096688401496</v>
      </c>
      <c r="F77" s="26"/>
      <c r="K77" s="7"/>
      <c r="L77" s="8"/>
      <c r="M77" s="7"/>
    </row>
    <row r="78" spans="1:13" ht="12.75">
      <c r="A78">
        <v>77</v>
      </c>
      <c r="C78" s="7">
        <f t="shared" si="9"/>
        <v>7446.75</v>
      </c>
      <c r="D78" s="8">
        <f t="shared" si="10"/>
        <v>623.3085060064027</v>
      </c>
      <c r="E78" s="7">
        <f t="shared" si="11"/>
        <v>-1.0887308794451855</v>
      </c>
      <c r="F78" s="26"/>
      <c r="K78" s="7"/>
      <c r="L78" s="8"/>
      <c r="M78" s="7"/>
    </row>
    <row r="79" spans="1:13" ht="12.75">
      <c r="A79">
        <v>78</v>
      </c>
      <c r="C79" s="7">
        <f t="shared" si="9"/>
        <v>7458</v>
      </c>
      <c r="D79" s="8">
        <f t="shared" si="10"/>
        <v>623.1789463393686</v>
      </c>
      <c r="E79" s="7">
        <f t="shared" si="11"/>
        <v>-1.214552090050221</v>
      </c>
      <c r="F79" s="26"/>
      <c r="K79" s="7"/>
      <c r="L79" s="8"/>
      <c r="M79" s="7"/>
    </row>
    <row r="80" spans="1:13" ht="12.75">
      <c r="A80">
        <v>79</v>
      </c>
      <c r="C80" s="7">
        <f t="shared" si="9"/>
        <v>7469.25</v>
      </c>
      <c r="D80" s="8">
        <f t="shared" si="10"/>
        <v>623.0352317861415</v>
      </c>
      <c r="E80" s="7">
        <f t="shared" si="11"/>
        <v>-1.3403733006552567</v>
      </c>
      <c r="F80" s="26"/>
      <c r="K80" s="7"/>
      <c r="L80" s="8"/>
      <c r="M80" s="7"/>
    </row>
    <row r="81" spans="1:13" ht="12.75">
      <c r="A81">
        <v>80</v>
      </c>
      <c r="C81" s="7">
        <f t="shared" si="9"/>
        <v>7480.5</v>
      </c>
      <c r="D81" s="8">
        <f t="shared" si="10"/>
        <v>622.8773623467212</v>
      </c>
      <c r="E81" s="7">
        <f t="shared" si="11"/>
        <v>-1.4661945112602925</v>
      </c>
      <c r="F81" s="26"/>
      <c r="K81" s="7"/>
      <c r="L81" s="8"/>
      <c r="M81" s="7"/>
    </row>
    <row r="82" spans="1:13" ht="12.75">
      <c r="A82">
        <v>81</v>
      </c>
      <c r="C82" s="7">
        <f t="shared" si="9"/>
        <v>7491.75</v>
      </c>
      <c r="D82" s="8">
        <f t="shared" si="10"/>
        <v>622.7053380211079</v>
      </c>
      <c r="E82" s="7">
        <f t="shared" si="11"/>
        <v>-1.592015721865328</v>
      </c>
      <c r="F82" s="26"/>
      <c r="K82" s="7"/>
      <c r="L82" s="8"/>
      <c r="M82" s="7"/>
    </row>
    <row r="83" spans="1:13" ht="12.75">
      <c r="A83">
        <v>82</v>
      </c>
      <c r="C83" s="7">
        <f t="shared" si="9"/>
        <v>7503</v>
      </c>
      <c r="D83" s="8">
        <f t="shared" si="10"/>
        <v>622.5191588093014</v>
      </c>
      <c r="E83" s="7">
        <f t="shared" si="11"/>
        <v>-1.7178369324703642</v>
      </c>
      <c r="F83" s="26"/>
      <c r="K83" s="7"/>
      <c r="L83" s="8"/>
      <c r="M83" s="7"/>
    </row>
    <row r="84" spans="1:13" ht="12.75">
      <c r="A84">
        <v>83</v>
      </c>
      <c r="C84" s="7">
        <f t="shared" si="9"/>
        <v>7514.25</v>
      </c>
      <c r="D84" s="8">
        <f t="shared" si="10"/>
        <v>622.318824711302</v>
      </c>
      <c r="E84" s="7">
        <f t="shared" si="11"/>
        <v>-1.8436581430753995</v>
      </c>
      <c r="F84" s="26"/>
      <c r="K84" s="7"/>
      <c r="L84" s="8"/>
      <c r="M84" s="7"/>
    </row>
    <row r="85" spans="1:13" ht="12.75">
      <c r="A85" s="1">
        <v>84</v>
      </c>
      <c r="B85" s="1" t="s">
        <v>18</v>
      </c>
      <c r="C85" s="5">
        <f>Data!C7+Data!F7/2</f>
        <v>7525.5</v>
      </c>
      <c r="D85" s="6">
        <f>Data!D7+Data!E7/100*Data!F7/2</f>
        <v>622.1043357271095</v>
      </c>
      <c r="E85" s="5">
        <f>Data!E7</f>
        <v>-1.9694793536804356</v>
      </c>
      <c r="F85" s="26"/>
      <c r="K85" s="5"/>
      <c r="L85" s="6"/>
      <c r="M85" s="5"/>
    </row>
    <row r="86" spans="1:13" ht="12.75">
      <c r="A86" s="1">
        <v>85</v>
      </c>
      <c r="B86" s="1" t="s">
        <v>22</v>
      </c>
      <c r="C86" s="5">
        <f>Data!C8-Data!F8/2</f>
        <v>7932.5</v>
      </c>
      <c r="D86" s="6">
        <f>Data!D8-Data!E7/100*Data!F8/2</f>
        <v>614.0885547576302</v>
      </c>
      <c r="E86" s="5">
        <f>Data!E7</f>
        <v>-1.9694793536804356</v>
      </c>
      <c r="F86" s="26"/>
      <c r="K86" s="5"/>
      <c r="L86" s="6"/>
      <c r="M86" s="5"/>
    </row>
    <row r="87" spans="1:13" ht="12.75">
      <c r="A87">
        <v>86</v>
      </c>
      <c r="C87" s="7">
        <f aca="true" t="shared" si="12" ref="C87:C105">C86+($C$106-$C$86)/20</f>
        <v>7936.25</v>
      </c>
      <c r="D87" s="8">
        <f aca="true" t="shared" si="13" ref="D87:D105">D$86+($E$106-$E$86)/100*(C87-$C$86)^2/2/($C$106-$C$86)+$E$86/100*(C87-$C$86)</f>
        <v>614.0164922668624</v>
      </c>
      <c r="E87" s="7">
        <f aca="true" t="shared" si="14" ref="E87:E105">$E$86+($E$106-$E$86)*(C87-$C$86)/($C$106-$C$86)</f>
        <v>-1.8738534872622377</v>
      </c>
      <c r="F87" s="26"/>
      <c r="K87" s="7"/>
      <c r="L87" s="8"/>
      <c r="M87" s="7"/>
    </row>
    <row r="88" spans="1:13" ht="12.75">
      <c r="A88">
        <v>87</v>
      </c>
      <c r="C88" s="7">
        <f t="shared" si="12"/>
        <v>7940</v>
      </c>
      <c r="D88" s="8">
        <f t="shared" si="13"/>
        <v>613.9480157460855</v>
      </c>
      <c r="E88" s="7">
        <f t="shared" si="14"/>
        <v>-1.7782276208440395</v>
      </c>
      <c r="F88" s="26"/>
      <c r="K88" s="7"/>
      <c r="L88" s="8"/>
      <c r="M88" s="7"/>
    </row>
    <row r="89" spans="1:13" ht="12.75">
      <c r="A89">
        <v>88</v>
      </c>
      <c r="C89" s="7">
        <f t="shared" si="12"/>
        <v>7943.75</v>
      </c>
      <c r="D89" s="8">
        <f t="shared" si="13"/>
        <v>613.8831251952992</v>
      </c>
      <c r="E89" s="7">
        <f t="shared" si="14"/>
        <v>-1.6826017544258416</v>
      </c>
      <c r="F89" s="26"/>
      <c r="K89" s="7"/>
      <c r="L89" s="8"/>
      <c r="M89" s="7"/>
    </row>
    <row r="90" spans="1:13" ht="12.75">
      <c r="A90">
        <v>89</v>
      </c>
      <c r="C90" s="7">
        <f t="shared" si="12"/>
        <v>7947.5</v>
      </c>
      <c r="D90" s="8">
        <f t="shared" si="13"/>
        <v>613.8218206145035</v>
      </c>
      <c r="E90" s="7">
        <f t="shared" si="14"/>
        <v>-1.5869758880076437</v>
      </c>
      <c r="F90" s="26"/>
      <c r="K90" s="7"/>
      <c r="L90" s="8"/>
      <c r="M90" s="7"/>
    </row>
    <row r="91" spans="1:13" ht="12.75">
      <c r="A91">
        <v>90</v>
      </c>
      <c r="C91" s="7">
        <f t="shared" si="12"/>
        <v>7951.25</v>
      </c>
      <c r="D91" s="8">
        <f t="shared" si="13"/>
        <v>613.7641020036986</v>
      </c>
      <c r="E91" s="7">
        <f t="shared" si="14"/>
        <v>-1.4913500215894455</v>
      </c>
      <c r="F91" s="26"/>
      <c r="K91" s="7"/>
      <c r="L91" s="8"/>
      <c r="M91" s="7"/>
    </row>
    <row r="92" spans="1:13" ht="12.75">
      <c r="A92">
        <v>91</v>
      </c>
      <c r="C92" s="7">
        <f t="shared" si="12"/>
        <v>7955</v>
      </c>
      <c r="D92" s="8">
        <f t="shared" si="13"/>
        <v>613.7099693628843</v>
      </c>
      <c r="E92" s="7">
        <f t="shared" si="14"/>
        <v>-1.3957241551712476</v>
      </c>
      <c r="F92" s="26"/>
      <c r="K92" s="7"/>
      <c r="L92" s="8"/>
      <c r="M92" s="7"/>
    </row>
    <row r="93" spans="1:13" ht="12.75">
      <c r="A93">
        <v>92</v>
      </c>
      <c r="C93" s="7">
        <f t="shared" si="12"/>
        <v>7958.75</v>
      </c>
      <c r="D93" s="8">
        <f t="shared" si="13"/>
        <v>613.6594226920608</v>
      </c>
      <c r="E93" s="7">
        <f t="shared" si="14"/>
        <v>-1.3000982887530497</v>
      </c>
      <c r="F93" s="26"/>
      <c r="K93" s="7"/>
      <c r="L93" s="8"/>
      <c r="M93" s="7"/>
    </row>
    <row r="94" spans="1:13" ht="12.75">
      <c r="A94">
        <v>93</v>
      </c>
      <c r="C94" s="7">
        <f t="shared" si="12"/>
        <v>7962.5</v>
      </c>
      <c r="D94" s="8">
        <f t="shared" si="13"/>
        <v>613.6124619912279</v>
      </c>
      <c r="E94" s="7">
        <f t="shared" si="14"/>
        <v>-1.2044724223348517</v>
      </c>
      <c r="F94" s="26"/>
      <c r="K94" s="7"/>
      <c r="L94" s="8"/>
      <c r="M94" s="7"/>
    </row>
    <row r="95" spans="1:13" ht="12.75">
      <c r="A95">
        <v>94</v>
      </c>
      <c r="C95" s="7">
        <f t="shared" si="12"/>
        <v>7966.25</v>
      </c>
      <c r="D95" s="8">
        <f t="shared" si="13"/>
        <v>613.5690872603857</v>
      </c>
      <c r="E95" s="7">
        <f t="shared" si="14"/>
        <v>-1.1088465559166536</v>
      </c>
      <c r="F95" s="26"/>
      <c r="K95" s="7"/>
      <c r="L95" s="8"/>
      <c r="M95" s="7"/>
    </row>
    <row r="96" spans="1:13" ht="12.75">
      <c r="A96">
        <v>95</v>
      </c>
      <c r="C96" s="7">
        <f t="shared" si="12"/>
        <v>7970</v>
      </c>
      <c r="D96" s="8">
        <f t="shared" si="13"/>
        <v>613.5292984995341</v>
      </c>
      <c r="E96" s="7">
        <f t="shared" si="14"/>
        <v>-1.0132206894984557</v>
      </c>
      <c r="F96" s="26"/>
      <c r="K96" s="7"/>
      <c r="L96" s="8"/>
      <c r="M96" s="7"/>
    </row>
    <row r="97" spans="1:13" ht="12.75">
      <c r="A97">
        <v>96</v>
      </c>
      <c r="C97" s="7">
        <f t="shared" si="12"/>
        <v>7973.75</v>
      </c>
      <c r="D97" s="8">
        <f t="shared" si="13"/>
        <v>613.4930957086733</v>
      </c>
      <c r="E97" s="7">
        <f t="shared" si="14"/>
        <v>-0.9175948230802577</v>
      </c>
      <c r="F97" s="26"/>
      <c r="K97" s="7"/>
      <c r="L97" s="8"/>
      <c r="M97" s="7"/>
    </row>
    <row r="98" spans="1:13" ht="12.75">
      <c r="A98">
        <v>97</v>
      </c>
      <c r="C98" s="7">
        <f t="shared" si="12"/>
        <v>7977.5</v>
      </c>
      <c r="D98" s="8">
        <f t="shared" si="13"/>
        <v>613.4604788878031</v>
      </c>
      <c r="E98" s="7">
        <f t="shared" si="14"/>
        <v>-0.8219689566620596</v>
      </c>
      <c r="F98" s="26"/>
      <c r="K98" s="7"/>
      <c r="L98" s="8"/>
      <c r="M98" s="7"/>
    </row>
    <row r="99" spans="1:13" ht="12.75">
      <c r="A99">
        <v>98</v>
      </c>
      <c r="C99" s="7">
        <f t="shared" si="12"/>
        <v>7981.25</v>
      </c>
      <c r="D99" s="8">
        <f t="shared" si="13"/>
        <v>613.4314480369236</v>
      </c>
      <c r="E99" s="7">
        <f t="shared" si="14"/>
        <v>-0.7263430902438617</v>
      </c>
      <c r="F99" s="26"/>
      <c r="K99" s="7"/>
      <c r="L99" s="8"/>
      <c r="M99" s="7"/>
    </row>
    <row r="100" spans="1:13" ht="12.75">
      <c r="A100">
        <v>99</v>
      </c>
      <c r="C100" s="7">
        <f t="shared" si="12"/>
        <v>7985</v>
      </c>
      <c r="D100" s="8">
        <f t="shared" si="13"/>
        <v>613.4060031560348</v>
      </c>
      <c r="E100" s="7">
        <f t="shared" si="14"/>
        <v>-0.6307172238256635</v>
      </c>
      <c r="F100" s="26"/>
      <c r="K100" s="7"/>
      <c r="L100" s="8"/>
      <c r="M100" s="7"/>
    </row>
    <row r="101" spans="1:13" ht="12.75">
      <c r="A101">
        <v>100</v>
      </c>
      <c r="C101" s="7">
        <f t="shared" si="12"/>
        <v>7988.75</v>
      </c>
      <c r="D101" s="8">
        <f t="shared" si="13"/>
        <v>613.3841442451367</v>
      </c>
      <c r="E101" s="7">
        <f t="shared" si="14"/>
        <v>-0.5350913574074656</v>
      </c>
      <c r="F101" s="26"/>
      <c r="K101" s="7"/>
      <c r="L101" s="8"/>
      <c r="M101" s="7"/>
    </row>
    <row r="102" spans="1:13" ht="12.75">
      <c r="A102">
        <v>101</v>
      </c>
      <c r="C102" s="7">
        <f t="shared" si="12"/>
        <v>7992.5</v>
      </c>
      <c r="D102" s="8">
        <f t="shared" si="13"/>
        <v>613.3658713042292</v>
      </c>
      <c r="E102" s="7">
        <f t="shared" si="14"/>
        <v>-0.4394654909892679</v>
      </c>
      <c r="F102" s="26"/>
      <c r="K102" s="7"/>
      <c r="L102" s="8"/>
      <c r="M102" s="7"/>
    </row>
    <row r="103" spans="1:13" ht="12.75">
      <c r="A103">
        <v>102</v>
      </c>
      <c r="C103" s="7">
        <f t="shared" si="12"/>
        <v>7996.25</v>
      </c>
      <c r="D103" s="8">
        <f t="shared" si="13"/>
        <v>613.3511843333124</v>
      </c>
      <c r="E103" s="7">
        <f t="shared" si="14"/>
        <v>-0.34383962457106976</v>
      </c>
      <c r="F103" s="26"/>
      <c r="K103" s="7"/>
      <c r="L103" s="8"/>
      <c r="M103" s="7"/>
    </row>
    <row r="104" spans="1:13" ht="12.75">
      <c r="A104">
        <v>103</v>
      </c>
      <c r="C104" s="7">
        <f t="shared" si="12"/>
        <v>8000</v>
      </c>
      <c r="D104" s="8">
        <f t="shared" si="13"/>
        <v>613.3400833323864</v>
      </c>
      <c r="E104" s="7">
        <f t="shared" si="14"/>
        <v>-0.2482137581528716</v>
      </c>
      <c r="F104" s="26"/>
      <c r="K104" s="7"/>
      <c r="L104" s="8"/>
      <c r="M104" s="7"/>
    </row>
    <row r="105" spans="1:13" ht="12.75">
      <c r="A105">
        <v>104</v>
      </c>
      <c r="C105" s="7">
        <f t="shared" si="12"/>
        <v>8003.75</v>
      </c>
      <c r="D105" s="8">
        <f t="shared" si="13"/>
        <v>613.332568301451</v>
      </c>
      <c r="E105" s="7">
        <f t="shared" si="14"/>
        <v>-0.1525878917346739</v>
      </c>
      <c r="F105" s="26"/>
      <c r="K105" s="7"/>
      <c r="L105" s="8"/>
      <c r="M105" s="7"/>
    </row>
    <row r="106" spans="1:13" ht="12.75">
      <c r="A106" s="1">
        <v>105</v>
      </c>
      <c r="B106" s="1" t="s">
        <v>18</v>
      </c>
      <c r="C106" s="5">
        <f>Data!C8+Data!F8/2</f>
        <v>8007.5</v>
      </c>
      <c r="D106" s="6">
        <f>Data!D8+Data!E8/100*Data!F8/2</f>
        <v>613.3286392405064</v>
      </c>
      <c r="E106" s="5">
        <f>Data!E8</f>
        <v>-0.056962025316475845</v>
      </c>
      <c r="K106" s="5"/>
      <c r="L106" s="1"/>
      <c r="M106" s="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M31"/>
  <sheetViews>
    <sheetView workbookViewId="0" topLeftCell="A1">
      <selection activeCell="B16" sqref="B16"/>
    </sheetView>
  </sheetViews>
  <sheetFormatPr defaultColWidth="9.140625" defaultRowHeight="12.75"/>
  <cols>
    <col min="1" max="1" width="12.28125" style="0" customWidth="1"/>
  </cols>
  <sheetData>
    <row r="1" spans="2:9" ht="12.75">
      <c r="B1" t="s">
        <v>57</v>
      </c>
      <c r="I1" t="s">
        <v>58</v>
      </c>
    </row>
    <row r="4" spans="1:12" ht="12.75">
      <c r="A4" t="s">
        <v>59</v>
      </c>
      <c r="B4" s="1">
        <f>Data!C12</f>
        <v>6133.01</v>
      </c>
      <c r="C4" s="1">
        <f>Data!C14</f>
        <v>599.64</v>
      </c>
      <c r="D4" s="1"/>
      <c r="E4">
        <f>MATCH(B4,Detail!$C$2:$C$106,1)</f>
        <v>26</v>
      </c>
      <c r="I4" s="1">
        <f>Data!C13</f>
        <v>6145.01</v>
      </c>
      <c r="J4" s="1">
        <f>Data!C14</f>
        <v>599.64</v>
      </c>
      <c r="K4" s="1"/>
      <c r="L4">
        <f>MATCH(I4,Detail!$C$2:$C$106,1)</f>
        <v>27</v>
      </c>
    </row>
    <row r="6" spans="1:13" ht="12.75">
      <c r="A6" t="s">
        <v>60</v>
      </c>
      <c r="B6">
        <f ca="1">OFFSET(Volume!$C$1,F6-1,0)</f>
        <v>6117.8</v>
      </c>
      <c r="C6">
        <f ca="1">OFFSET(Volume!$C$1,F6-1,1)</f>
        <v>606.1817439778117</v>
      </c>
      <c r="D6">
        <f ca="1">OFFSET(Volume!$C$1,F6-1,2)</f>
        <v>-3.751619681708748</v>
      </c>
      <c r="E6">
        <f ca="1">OFFSET(Volume!$W$1,F6-1,0)</f>
        <v>2.3250680631325933</v>
      </c>
      <c r="F6">
        <f>MATCH(1,Volume!$X$2:$X$502,0)</f>
        <v>160</v>
      </c>
      <c r="I6">
        <f ca="1">OFFSET(Volume!$C$1,M6-1,0)</f>
        <v>6153.8</v>
      </c>
      <c r="J6">
        <f ca="1">OFFSET(Volume!$C$1,M6-1,1)</f>
        <v>605.0267064533754</v>
      </c>
      <c r="K6">
        <f ca="1">OFFSET(Volume!$C$1,M6-1,2)</f>
        <v>-2.665255454048763</v>
      </c>
      <c r="L6">
        <f ca="1">OFFSET(Volume!$Z$1,M6-1,0)</f>
        <v>1.6317948780171663</v>
      </c>
      <c r="M6">
        <f>MATCH(1,Volume!$AA$2:$AA$502,0)</f>
        <v>166</v>
      </c>
    </row>
    <row r="7" spans="1:12" ht="12.75">
      <c r="A7" t="s">
        <v>61</v>
      </c>
      <c r="B7">
        <f ca="1">OFFSET(Volume!$C$1,F6,0)</f>
        <v>6123.8</v>
      </c>
      <c r="C7">
        <f ca="1">OFFSET(Volume!$C$1,F6,1)</f>
        <v>605.9620786180475</v>
      </c>
      <c r="D7">
        <f ca="1">OFFSET(Volume!$C$1,F6,2)</f>
        <v>-3.5705589770987505</v>
      </c>
      <c r="E7">
        <f ca="1">OFFSET(Volume!$W$1,F6,0)</f>
        <v>1.4567993466118014</v>
      </c>
      <c r="I7">
        <f ca="1">OFFSET(Volume!$C$1,M6,0)</f>
        <v>6159.8</v>
      </c>
      <c r="J7">
        <f ca="1">OFFSET(Volume!$C$1,M6,1)</f>
        <v>604.8722229472706</v>
      </c>
      <c r="K7">
        <f ca="1">OFFSET(Volume!$C$1,M6,2)</f>
        <v>-2.4841947494387657</v>
      </c>
      <c r="L7">
        <f ca="1">OFFSET(Volume!$Z$1,M6,0)</f>
        <v>2.826714409735739</v>
      </c>
    </row>
    <row r="8" spans="1:13" ht="12.75">
      <c r="A8" t="s">
        <v>62</v>
      </c>
      <c r="B8" s="1">
        <f>B6+(B7-B6)*(E8-E6)/(E7-E6)</f>
        <v>6120.046318843101</v>
      </c>
      <c r="C8" s="1">
        <f>C6+(C7-C6)*(E8-E6)/(E7-E6)</f>
        <v>606.0995042383425</v>
      </c>
      <c r="D8" s="1">
        <f>D6+(D7-D6)*(E8-E6)/(E7-E6)</f>
        <v>-3.683833002956992</v>
      </c>
      <c r="E8">
        <f>Data!D12</f>
        <v>2</v>
      </c>
      <c r="F8">
        <f>(B8-B4)/(C8-C4)</f>
        <v>-2.006915806316627</v>
      </c>
      <c r="I8" s="1">
        <f>I6+(I7-I6)*(L8-L6)/(L7-L6)</f>
        <v>6155.64885314304</v>
      </c>
      <c r="J8" s="1">
        <f>J6+(J7-J6)*(L8-L6)/(L7-L6)</f>
        <v>604.9791035674072</v>
      </c>
      <c r="K8" s="1">
        <f>K6+(K7-K6)*(L8-L6)/(L7-L6)</f>
        <v>-2.6094630119155773</v>
      </c>
      <c r="L8">
        <f>Data!D13</f>
        <v>2</v>
      </c>
      <c r="M8">
        <f>(I8-I4)/(J8-J4)</f>
        <v>1.9926291012567678</v>
      </c>
    </row>
    <row r="10" spans="2:10" ht="12.75">
      <c r="B10">
        <f>B8</f>
        <v>6120.046318843101</v>
      </c>
      <c r="C10">
        <f>C8</f>
        <v>606.0995042383425</v>
      </c>
      <c r="I10">
        <f>I4</f>
        <v>6145.01</v>
      </c>
      <c r="J10">
        <f>J4</f>
        <v>599.64</v>
      </c>
    </row>
    <row r="11" spans="2:10" ht="12.75">
      <c r="B11">
        <f>B4</f>
        <v>6133.01</v>
      </c>
      <c r="C11">
        <f>C4</f>
        <v>599.64</v>
      </c>
      <c r="I11">
        <f>I8</f>
        <v>6155.64885314304</v>
      </c>
      <c r="J11">
        <f>J8</f>
        <v>604.9791035674072</v>
      </c>
    </row>
    <row r="14" spans="2:11" ht="12.75">
      <c r="B14" t="s">
        <v>1</v>
      </c>
      <c r="C14" t="s">
        <v>29</v>
      </c>
      <c r="D14" t="s">
        <v>70</v>
      </c>
      <c r="E14" t="s">
        <v>71</v>
      </c>
      <c r="F14" t="s">
        <v>72</v>
      </c>
      <c r="G14" t="s">
        <v>73</v>
      </c>
      <c r="H14" t="s">
        <v>74</v>
      </c>
      <c r="I14" t="s">
        <v>75</v>
      </c>
      <c r="J14" t="s">
        <v>39</v>
      </c>
      <c r="K14" t="s">
        <v>40</v>
      </c>
    </row>
    <row r="15" spans="1:11" ht="12.75">
      <c r="A15" t="s">
        <v>65</v>
      </c>
      <c r="B15">
        <f>Data!C16</f>
        <v>5500</v>
      </c>
      <c r="C15">
        <f>MATCH(B15,Volume!$C$2:$C$502,1)</f>
        <v>42</v>
      </c>
      <c r="D15">
        <f ca="1">OFFSET(Volume!$C$1,C15,0)</f>
        <v>5498.460000000016</v>
      </c>
      <c r="E15">
        <f ca="1">OFFSET(Volume!$C$1,C15+1,0)</f>
        <v>5522.520000000017</v>
      </c>
      <c r="F15">
        <f ca="1">OFFSET(Volume!$C$1,C15,11)</f>
        <v>32108.496503931234</v>
      </c>
      <c r="G15">
        <f ca="1">OFFSET(Volume!$C$1,C15+1,11)</f>
        <v>33364.52849785836</v>
      </c>
      <c r="H15">
        <f ca="1">OFFSET(Volume!$C$1,C15,12)</f>
        <v>71260.69773647306</v>
      </c>
      <c r="I15">
        <f ca="1">OFFSET(Volume!$C$1,C15+1,12)</f>
        <v>71260.69773647306</v>
      </c>
      <c r="J15">
        <f aca="true" t="shared" si="0" ref="J15:J20">($B15-$D15)/($E15-$D15)*(G15-F15)+F15</f>
        <v>32188.890904206677</v>
      </c>
      <c r="K15">
        <f aca="true" t="shared" si="1" ref="K15:K20">($B15-$D15)/($E15-$D15)*(I15-H15)+H15</f>
        <v>71260.69773647306</v>
      </c>
    </row>
    <row r="16" spans="1:11" ht="12.75">
      <c r="A16" t="s">
        <v>64</v>
      </c>
      <c r="B16">
        <f>B8</f>
        <v>6120.046318843101</v>
      </c>
      <c r="C16">
        <f>MATCH(B16,Volume!$C$2:$C$502,1)</f>
        <v>159</v>
      </c>
      <c r="D16">
        <f ca="1">OFFSET(Volume!$C$1,C16,0)</f>
        <v>6117.8</v>
      </c>
      <c r="E16">
        <f ca="1">OFFSET(Volume!$C$1,C16+1,0)</f>
        <v>6123.8</v>
      </c>
      <c r="F16">
        <f ca="1">OFFSET(Volume!$C$1,C16,11)</f>
        <v>64611.49827927067</v>
      </c>
      <c r="G16">
        <f ca="1">OFFSET(Volume!$C$1,C16+1,11)</f>
        <v>64611.49827927067</v>
      </c>
      <c r="H16">
        <f ca="1">OFFSET(Volume!$C$1,C16,12)</f>
        <v>71646.15381065466</v>
      </c>
      <c r="I16">
        <f ca="1">OFFSET(Volume!$C$1,C16+1,12)</f>
        <v>71995.48712415954</v>
      </c>
      <c r="J16">
        <f t="shared" si="0"/>
        <v>64611.49827927067</v>
      </c>
      <c r="K16">
        <f t="shared" si="1"/>
        <v>71776.93947809616</v>
      </c>
    </row>
    <row r="17" spans="1:11" ht="12.75">
      <c r="A17" t="s">
        <v>66</v>
      </c>
      <c r="B17">
        <f>B4</f>
        <v>6133.01</v>
      </c>
      <c r="C17">
        <f>MATCH(B17,Volume!$C$2:$C$502,1)</f>
        <v>161</v>
      </c>
      <c r="D17">
        <f ca="1">OFFSET(Volume!$C$1,C17,0)</f>
        <v>6129.8</v>
      </c>
      <c r="E17">
        <f ca="1">OFFSET(Volume!$C$1,C17+1,0)</f>
        <v>6135.8</v>
      </c>
      <c r="F17">
        <f ca="1">OFFSET(Volume!$C$1,C17,11)</f>
        <v>64611.49827927067</v>
      </c>
      <c r="G17">
        <f ca="1">OFFSET(Volume!$C$1,C17+1,11)</f>
        <v>64611.49827927067</v>
      </c>
      <c r="H17">
        <f ca="1">OFFSET(Volume!$C$1,C17,12)</f>
        <v>72543.31400753069</v>
      </c>
      <c r="I17">
        <f ca="1">OFFSET(Volume!$C$1,C17+1,12)</f>
        <v>73126.33086065826</v>
      </c>
      <c r="J17">
        <f t="shared" si="0"/>
        <v>64611.49827927067</v>
      </c>
      <c r="K17">
        <f t="shared" si="1"/>
        <v>72855.22802395394</v>
      </c>
    </row>
    <row r="18" spans="1:11" ht="12.75">
      <c r="A18" t="s">
        <v>67</v>
      </c>
      <c r="B18">
        <f>I4</f>
        <v>6145.01</v>
      </c>
      <c r="C18">
        <f>MATCH(B18,Volume!$C$2:$C$502,1)</f>
        <v>163</v>
      </c>
      <c r="D18">
        <f ca="1">OFFSET(Volume!$C$1,C18,0)</f>
        <v>6141.8</v>
      </c>
      <c r="E18">
        <f ca="1">OFFSET(Volume!$C$1,C18+1,0)</f>
        <v>6147.8</v>
      </c>
      <c r="F18">
        <f ca="1">OFFSET(Volume!$C$1,C18,11)</f>
        <v>64611.49827927067</v>
      </c>
      <c r="G18">
        <f ca="1">OFFSET(Volume!$C$1,C18+1,11)</f>
        <v>64611.49827927067</v>
      </c>
      <c r="H18">
        <f ca="1">OFFSET(Volume!$C$1,C18,12)</f>
        <v>73565.45480040442</v>
      </c>
      <c r="I18">
        <f ca="1">OFFSET(Volume!$C$1,C18+1,12)</f>
        <v>73874.70691548988</v>
      </c>
      <c r="J18">
        <f t="shared" si="0"/>
        <v>64611.49827927067</v>
      </c>
      <c r="K18">
        <f t="shared" si="1"/>
        <v>73730.90468197514</v>
      </c>
    </row>
    <row r="19" spans="1:11" ht="12.75">
      <c r="A19" t="s">
        <v>68</v>
      </c>
      <c r="B19">
        <f>I8</f>
        <v>6155.64885314304</v>
      </c>
      <c r="C19">
        <f>MATCH(B19,Volume!$C$2:$C$502,1)</f>
        <v>165</v>
      </c>
      <c r="D19">
        <f ca="1">OFFSET(Volume!$C$1,C19,0)</f>
        <v>6153.8</v>
      </c>
      <c r="E19">
        <f ca="1">OFFSET(Volume!$C$1,C19+1,0)</f>
        <v>6159.8</v>
      </c>
      <c r="F19">
        <f ca="1">OFFSET(Volume!$C$1,C19,11)</f>
        <v>64611.49827927067</v>
      </c>
      <c r="G19">
        <f ca="1">OFFSET(Volume!$C$1,C19+1,11)</f>
        <v>64611.49827927067</v>
      </c>
      <c r="H19">
        <f ca="1">OFFSET(Volume!$C$1,C19,12)</f>
        <v>74073.99621303202</v>
      </c>
      <c r="I19">
        <f ca="1">OFFSET(Volume!$C$1,C19+1,12)</f>
        <v>74182.28838277802</v>
      </c>
      <c r="J19">
        <f t="shared" si="0"/>
        <v>64611.49827927067</v>
      </c>
      <c r="K19">
        <f t="shared" si="1"/>
        <v>74107.36559943226</v>
      </c>
    </row>
    <row r="20" spans="1:11" ht="12.75">
      <c r="A20" t="s">
        <v>69</v>
      </c>
      <c r="B20">
        <f>Data!C17</f>
        <v>6500</v>
      </c>
      <c r="C20">
        <f>MATCH(B20,Volume!$C$2:$C$502,1)</f>
        <v>230</v>
      </c>
      <c r="D20">
        <f ca="1">OFFSET(Volume!$C$1,C20,0)</f>
        <v>6498.676000000012</v>
      </c>
      <c r="E20">
        <f ca="1">OFFSET(Volume!$C$1,C20+1,0)</f>
        <v>6503.120000000013</v>
      </c>
      <c r="F20">
        <f ca="1">OFFSET(Volume!$C$1,C20,11)</f>
        <v>68476.60942132665</v>
      </c>
      <c r="G20">
        <f ca="1">OFFSET(Volume!$C$1,C20+1,11)</f>
        <v>68476.60942132665</v>
      </c>
      <c r="H20">
        <f ca="1">OFFSET(Volume!$C$1,C20,12)</f>
        <v>75912.55028232712</v>
      </c>
      <c r="I20">
        <f ca="1">OFFSET(Volume!$C$1,C20+1,12)</f>
        <v>75952.94029419984</v>
      </c>
      <c r="J20">
        <f t="shared" si="0"/>
        <v>68476.60942132665</v>
      </c>
      <c r="K20">
        <f t="shared" si="1"/>
        <v>75924.58367020269</v>
      </c>
    </row>
    <row r="22" spans="3:4" ht="12.75">
      <c r="C22" t="s">
        <v>39</v>
      </c>
      <c r="D22" t="s">
        <v>40</v>
      </c>
    </row>
    <row r="23" spans="2:4" ht="12.75">
      <c r="B23" t="s">
        <v>76</v>
      </c>
      <c r="C23">
        <f>J16-J15</f>
        <v>32422.607375063995</v>
      </c>
      <c r="D23">
        <f>K16-K15</f>
        <v>516.2417416231037</v>
      </c>
    </row>
    <row r="24" spans="2:4" ht="12.75">
      <c r="B24" t="s">
        <v>77</v>
      </c>
      <c r="C24">
        <f>0.5*(J17-J16)</f>
        <v>0</v>
      </c>
      <c r="D24">
        <f>0.5*(K17-K16)</f>
        <v>539.1442729288901</v>
      </c>
    </row>
    <row r="25" spans="2:4" ht="12.75">
      <c r="B25" t="s">
        <v>78</v>
      </c>
      <c r="C25">
        <f>0.5*(J19-J18)</f>
        <v>0</v>
      </c>
      <c r="D25">
        <f>0.5*(K19-K18)</f>
        <v>188.23045872856164</v>
      </c>
    </row>
    <row r="26" spans="2:4" ht="12.75">
      <c r="B26" t="s">
        <v>79</v>
      </c>
      <c r="C26">
        <f>J20-J19</f>
        <v>3865.1111420559755</v>
      </c>
      <c r="D26">
        <f>K20-K19</f>
        <v>1817.2180707704247</v>
      </c>
    </row>
    <row r="27" spans="3:4" ht="12.75">
      <c r="C27">
        <f>SUM(C23:C26)</f>
        <v>36287.71851711997</v>
      </c>
      <c r="D27">
        <f>SUM(D23:D26)</f>
        <v>3060.83454405098</v>
      </c>
    </row>
    <row r="29" spans="2:4" ht="12.75">
      <c r="B29" t="s">
        <v>80</v>
      </c>
      <c r="C29">
        <f>J20-J15</f>
        <v>36287.71851711997</v>
      </c>
      <c r="D29">
        <f>K20-K15</f>
        <v>4663.885933729631</v>
      </c>
    </row>
    <row r="31" spans="2:4" ht="12.75">
      <c r="B31" t="s">
        <v>81</v>
      </c>
      <c r="C31">
        <f>IF(AND(B15&lt;B16,B20&gt;B19),C27,C29)</f>
        <v>36287.71851711997</v>
      </c>
      <c r="D31">
        <f>IF(AND(B15&lt;B16,B20&gt;B19),D27,D29)</f>
        <v>3060.83454405098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C502"/>
  <sheetViews>
    <sheetView workbookViewId="0" topLeftCell="F250">
      <selection activeCell="B16" sqref="B16"/>
    </sheetView>
  </sheetViews>
  <sheetFormatPr defaultColWidth="9.140625" defaultRowHeight="12.75"/>
  <cols>
    <col min="9" max="9" width="9.140625" style="30" customWidth="1"/>
    <col min="10" max="10" width="9.140625" style="28" customWidth="1"/>
    <col min="12" max="15" width="9.140625" style="28" customWidth="1"/>
    <col min="16" max="16" width="6.28125" style="0" customWidth="1"/>
    <col min="17" max="17" width="7.28125" style="0" customWidth="1"/>
    <col min="22" max="22" width="9.140625" style="17" customWidth="1"/>
  </cols>
  <sheetData>
    <row r="1" spans="1:27" ht="12.75">
      <c r="A1" s="1" t="s">
        <v>14</v>
      </c>
      <c r="B1" s="1" t="s">
        <v>0</v>
      </c>
      <c r="C1" s="1" t="s">
        <v>15</v>
      </c>
      <c r="D1" s="1" t="s">
        <v>2</v>
      </c>
      <c r="E1" s="1" t="s">
        <v>16</v>
      </c>
      <c r="F1" s="1"/>
      <c r="G1" s="1" t="s">
        <v>35</v>
      </c>
      <c r="H1" s="1" t="s">
        <v>36</v>
      </c>
      <c r="I1" s="29" t="s">
        <v>37</v>
      </c>
      <c r="J1" s="27" t="s">
        <v>38</v>
      </c>
      <c r="K1" s="1" t="s">
        <v>32</v>
      </c>
      <c r="L1" s="27" t="s">
        <v>39</v>
      </c>
      <c r="M1" s="27" t="s">
        <v>40</v>
      </c>
      <c r="N1" s="27" t="s">
        <v>41</v>
      </c>
      <c r="O1" s="27" t="s">
        <v>42</v>
      </c>
      <c r="P1" s="1"/>
      <c r="Q1" s="1"/>
      <c r="R1" s="1"/>
      <c r="S1" s="1"/>
      <c r="T1" s="1"/>
      <c r="U1" s="1"/>
      <c r="W1">
        <f>'Temp Calcs'!B4</f>
        <v>6133.01</v>
      </c>
      <c r="X1">
        <f>'Temp Calcs'!C4</f>
        <v>599.64</v>
      </c>
      <c r="Z1">
        <f>'Temp Calcs'!I4</f>
        <v>6145.01</v>
      </c>
      <c r="AA1">
        <f>'Temp Calcs'!J4</f>
        <v>599.64</v>
      </c>
    </row>
    <row r="2" spans="1:27" ht="12.75">
      <c r="A2" s="1">
        <v>1</v>
      </c>
      <c r="B2" s="1" t="s">
        <v>63</v>
      </c>
      <c r="C2" s="1">
        <f>Data!C3</f>
        <v>4512</v>
      </c>
      <c r="D2" s="1">
        <f>Data!D3</f>
        <v>652.03</v>
      </c>
      <c r="E2" s="1">
        <f>Data!E3</f>
        <v>-2.3908132530120483</v>
      </c>
      <c r="F2" s="1"/>
      <c r="G2">
        <f>S2+(U2-S2)*(C2-R2)/(T2-R2)</f>
        <v>643.5356754666667</v>
      </c>
      <c r="H2" s="8">
        <f>D2-G2</f>
        <v>8.49432453333327</v>
      </c>
      <c r="I2" s="30">
        <f>IF(H2&lt;1,(Data!$G$16+14+0.8*Data!$G$17+Data!$G$18*(1-H2))*(1-H2),(Data!$G$16+6+Data!$G$17*(H2-0.6))*(H2-0.6))</f>
        <v>375.59063188368253</v>
      </c>
      <c r="K2" t="str">
        <f>IF(H2&lt;0.5,"Cut","Fill")</f>
        <v>Fill</v>
      </c>
      <c r="L2" s="28">
        <f>IF(K2="Cut",J2,0)</f>
        <v>0</v>
      </c>
      <c r="M2" s="28">
        <f>IF(K2="Fill",J2,0)</f>
        <v>0</v>
      </c>
      <c r="Q2">
        <f>MATCH(C2,Ground!$A$3:$A$1999,1)</f>
        <v>18</v>
      </c>
      <c r="R2">
        <f ca="1">OFFSET(Ground!$A$2,Volume!Q2,0)</f>
        <v>4510</v>
      </c>
      <c r="S2">
        <f ca="1">OFFSET(Ground!$A$2,Volume!Q2,1)</f>
        <v>643.543137</v>
      </c>
      <c r="T2">
        <f ca="1">OFFSET(Ground!$A$2,Volume!Q2+1,0)</f>
        <v>4540</v>
      </c>
      <c r="U2">
        <f ca="1">OFFSET(Ground!$A$2,Volume!Q2+1,1)</f>
        <v>643.431214</v>
      </c>
      <c r="W2">
        <f>($W$1-C2)/(D2-$X$1)</f>
        <v>30.94121015460967</v>
      </c>
      <c r="X2">
        <f>IF(Volume!W2&lt;'Temp Calcs'!$E$8,1,0)</f>
        <v>0</v>
      </c>
      <c r="Z2">
        <f>(C2-$Z$1)/(D2-$AA$1)</f>
        <v>-31.170261500286326</v>
      </c>
      <c r="AA2">
        <f>IF(Volume!Z2&gt;'Temp Calcs'!$L$8,1,0)</f>
        <v>0</v>
      </c>
    </row>
    <row r="3" spans="1:27" ht="12.75">
      <c r="A3" s="1">
        <v>2</v>
      </c>
      <c r="B3" s="1"/>
      <c r="C3" s="31">
        <f>C2+($C$52-$C$2)/50</f>
        <v>4536.06</v>
      </c>
      <c r="D3" s="17">
        <f>$D$2+($D$52-$D$2)*(C3-$C$2)/($C$52-$C$2)</f>
        <v>651.4547703313252</v>
      </c>
      <c r="E3" s="17">
        <f>E2</f>
        <v>-2.3908132530120483</v>
      </c>
      <c r="F3" s="1"/>
      <c r="G3">
        <f>S3+(U3-S3)*(C3-R3)/(T3-R3)</f>
        <v>643.4459132206666</v>
      </c>
      <c r="H3" s="8">
        <f>D3-G3</f>
        <v>8.008857110658596</v>
      </c>
      <c r="I3" s="30">
        <f>IF(H3&lt;1,(Data!$G$16+14+0.8*Data!$G$17+Data!$G$18*(1-H3))*(1-H3),(Data!$G$16+6+Data!$G$17*(H3-0.6))*(H3-0.6))</f>
        <v>338.1063685151633</v>
      </c>
      <c r="J3" s="28">
        <f>(I3+I2)/2*(C3-C2)</f>
        <v>8585.774914798258</v>
      </c>
      <c r="K3" t="str">
        <f>IF(H3&lt;0.5,"Cut","Fill")</f>
        <v>Fill</v>
      </c>
      <c r="L3" s="28">
        <f>IF(K3="Cut",J3,0)</f>
        <v>0</v>
      </c>
      <c r="M3" s="28">
        <f>IF(K3="Fill",J3,0)</f>
        <v>8585.774914798258</v>
      </c>
      <c r="N3" s="28">
        <f>SUM($L$3:L3)</f>
        <v>0</v>
      </c>
      <c r="O3" s="28">
        <f>SUM($M$3:M3)</f>
        <v>8585.774914798258</v>
      </c>
      <c r="Q3">
        <f>MATCH(C3,Ground!$A$3:$A$1999,1)</f>
        <v>18</v>
      </c>
      <c r="R3">
        <f ca="1">OFFSET(Ground!$A$2,Volume!Q3,0)</f>
        <v>4510</v>
      </c>
      <c r="S3">
        <f ca="1">OFFSET(Ground!$A$2,Volume!Q3,1)</f>
        <v>643.543137</v>
      </c>
      <c r="T3">
        <f ca="1">OFFSET(Ground!$A$2,Volume!Q3+1,0)</f>
        <v>4540</v>
      </c>
      <c r="U3">
        <f ca="1">OFFSET(Ground!$A$2,Volume!Q3+1,1)</f>
        <v>643.431214</v>
      </c>
      <c r="W3">
        <f aca="true" t="shared" si="0" ref="W3:W66">($W$1-C3)/(D3-$X$1)</f>
        <v>30.82036241381436</v>
      </c>
      <c r="X3">
        <f>IF(Volume!W3&lt;'Temp Calcs'!$E$8,1,0)</f>
        <v>0</v>
      </c>
      <c r="Z3">
        <f aca="true" t="shared" si="1" ref="Z3:Z66">(C3-$Z$1)/(D3-$AA$1)</f>
        <v>-31.051956608351308</v>
      </c>
      <c r="AA3">
        <f>IF(Volume!Z3&gt;'Temp Calcs'!$L$8,1,0)</f>
        <v>0</v>
      </c>
    </row>
    <row r="4" spans="1:27" ht="12.75">
      <c r="A4" s="1">
        <v>3</v>
      </c>
      <c r="B4" s="1"/>
      <c r="C4" s="31">
        <f aca="true" t="shared" si="2" ref="C4:C51">C3+($C$52-$C$2)/50</f>
        <v>4560.120000000001</v>
      </c>
      <c r="D4" s="17">
        <f aca="true" t="shared" si="3" ref="D4:D51">$D$2+($D$52-$D$2)*(C4-$C$2)/($C$52-$C$2)</f>
        <v>650.8795406626506</v>
      </c>
      <c r="E4" s="17">
        <f aca="true" t="shared" si="4" ref="E4:E51">E3</f>
        <v>-2.3908132530120483</v>
      </c>
      <c r="F4" s="1"/>
      <c r="G4">
        <f aca="true" t="shared" si="5" ref="G4:G53">S4+(U4-S4)*(C4-R4)/(T4-R4)</f>
        <v>643.3134221306667</v>
      </c>
      <c r="H4" s="8">
        <f aca="true" t="shared" si="6" ref="H4:H53">D4-G4</f>
        <v>7.566118531983875</v>
      </c>
      <c r="I4" s="30">
        <f>IF(H4&lt;1,(Data!$G$16+14+0.8*Data!$G$17+Data!$G$18*(1-H4))*(1-H4),(Data!$G$16+6+Data!$G$17*(H4-0.6))*(H4-0.6))</f>
        <v>305.56512611833875</v>
      </c>
      <c r="J4" s="28">
        <f aca="true" t="shared" si="7" ref="J4:J53">(I4+I3)/2*(C4-C3)</f>
        <v>7743.368080441159</v>
      </c>
      <c r="K4" t="str">
        <f aca="true" t="shared" si="8" ref="K4:K53">IF(H4&lt;0.5,"Cut","Fill")</f>
        <v>Fill</v>
      </c>
      <c r="L4" s="28">
        <f aca="true" t="shared" si="9" ref="L4:L53">IF(K4="Cut",J4,0)</f>
        <v>0</v>
      </c>
      <c r="M4" s="28">
        <f aca="true" t="shared" si="10" ref="M4:M53">IF(K4="Fill",J4,0)</f>
        <v>7743.368080441159</v>
      </c>
      <c r="N4" s="28">
        <f>SUM($L$3:L4)</f>
        <v>0</v>
      </c>
      <c r="O4" s="28">
        <f>SUM($M$3:M4)</f>
        <v>16329.142995239417</v>
      </c>
      <c r="Q4">
        <f>MATCH(C4,Ground!$A$3:$A$1999,1)</f>
        <v>19</v>
      </c>
      <c r="R4">
        <f ca="1">OFFSET(Ground!$A$2,Volume!Q4,0)</f>
        <v>4540</v>
      </c>
      <c r="S4">
        <f ca="1">OFFSET(Ground!$A$2,Volume!Q4,1)</f>
        <v>643.431214</v>
      </c>
      <c r="T4">
        <f ca="1">OFFSET(Ground!$A$2,Volume!Q4+1,0)</f>
        <v>4570</v>
      </c>
      <c r="U4">
        <f ca="1">OFFSET(Ground!$A$2,Volume!Q4+1,1)</f>
        <v>643.25558</v>
      </c>
      <c r="W4">
        <f t="shared" si="0"/>
        <v>30.696801330744687</v>
      </c>
      <c r="X4">
        <f>IF(Volume!W4&lt;'Temp Calcs'!$E$8,1,0)</f>
        <v>0</v>
      </c>
      <c r="Z4">
        <f t="shared" si="1"/>
        <v>-30.93099546763216</v>
      </c>
      <c r="AA4">
        <f>IF(Volume!Z4&gt;'Temp Calcs'!$L$8,1,0)</f>
        <v>0</v>
      </c>
    </row>
    <row r="5" spans="1:27" ht="12.75">
      <c r="A5" s="1">
        <v>4</v>
      </c>
      <c r="B5" s="1"/>
      <c r="C5" s="31">
        <f t="shared" si="2"/>
        <v>4584.180000000001</v>
      </c>
      <c r="D5" s="17">
        <f t="shared" si="3"/>
        <v>650.3043109939758</v>
      </c>
      <c r="E5" s="17">
        <f t="shared" si="4"/>
        <v>-2.3908132530120483</v>
      </c>
      <c r="F5" s="1"/>
      <c r="G5">
        <f t="shared" si="5"/>
        <v>643.1646772193334</v>
      </c>
      <c r="H5" s="8">
        <f t="shared" si="6"/>
        <v>7.139633774642448</v>
      </c>
      <c r="I5" s="30">
        <f>IF(H5&lt;1,(Data!$G$16+14+0.8*Data!$G$17+Data!$G$18*(1-H5))*(1-H5),(Data!$G$16+6+Data!$G$17*(H5-0.6))*(H5-0.6))</f>
        <v>275.7013800200561</v>
      </c>
      <c r="J5" s="28">
        <f t="shared" si="7"/>
        <v>6992.636068845006</v>
      </c>
      <c r="K5" t="str">
        <f t="shared" si="8"/>
        <v>Fill</v>
      </c>
      <c r="L5" s="28">
        <f t="shared" si="9"/>
        <v>0</v>
      </c>
      <c r="M5" s="28">
        <f t="shared" si="10"/>
        <v>6992.636068845006</v>
      </c>
      <c r="N5" s="28">
        <f>SUM($L$3:L5)</f>
        <v>0</v>
      </c>
      <c r="O5" s="28">
        <f>SUM($M$3:M5)</f>
        <v>23321.779064084425</v>
      </c>
      <c r="Q5">
        <f>MATCH(C5,Ground!$A$3:$A$1999,1)</f>
        <v>20</v>
      </c>
      <c r="R5">
        <f ca="1">OFFSET(Ground!$A$2,Volume!Q5,0)</f>
        <v>4570</v>
      </c>
      <c r="S5">
        <f ca="1">OFFSET(Ground!$A$2,Volume!Q5,1)</f>
        <v>643.25558</v>
      </c>
      <c r="T5">
        <f ca="1">OFFSET(Ground!$A$2,Volume!Q5+1,0)</f>
        <v>4600</v>
      </c>
      <c r="U5">
        <f ca="1">OFFSET(Ground!$A$2,Volume!Q5+1,1)</f>
        <v>643.063261</v>
      </c>
      <c r="W5">
        <f t="shared" si="0"/>
        <v>30.570434485611777</v>
      </c>
      <c r="X5">
        <f>IF(Volume!W5&lt;'Temp Calcs'!$E$8,1,0)</f>
        <v>0</v>
      </c>
      <c r="Z5">
        <f t="shared" si="1"/>
        <v>-30.80728760301481</v>
      </c>
      <c r="AA5">
        <f>IF(Volume!Z5&gt;'Temp Calcs'!$L$8,1,0)</f>
        <v>0</v>
      </c>
    </row>
    <row r="6" spans="1:27" ht="12.75">
      <c r="A6" s="1">
        <v>5</v>
      </c>
      <c r="B6" s="1"/>
      <c r="C6" s="31">
        <f t="shared" si="2"/>
        <v>4608.240000000002</v>
      </c>
      <c r="D6" s="17">
        <f t="shared" si="3"/>
        <v>649.7290813253012</v>
      </c>
      <c r="E6" s="17">
        <f t="shared" si="4"/>
        <v>-2.3908132530120483</v>
      </c>
      <c r="F6" s="1"/>
      <c r="G6">
        <f t="shared" si="5"/>
        <v>643.0052269546667</v>
      </c>
      <c r="H6" s="8">
        <f t="shared" si="6"/>
        <v>6.723854370634513</v>
      </c>
      <c r="I6" s="30">
        <f>IF(H6&lt;1,(Data!$G$16+14+0.8*Data!$G$17+Data!$G$18*(1-H6))*(1-H6),(Data!$G$16+6+Data!$G$17*(H6-0.6))*(H6-0.6))</f>
        <v>247.98803934110992</v>
      </c>
      <c r="J6" s="28">
        <f t="shared" si="7"/>
        <v>6299.9837149149325</v>
      </c>
      <c r="K6" t="str">
        <f t="shared" si="8"/>
        <v>Fill</v>
      </c>
      <c r="L6" s="28">
        <f t="shared" si="9"/>
        <v>0</v>
      </c>
      <c r="M6" s="28">
        <f t="shared" si="10"/>
        <v>6299.9837149149325</v>
      </c>
      <c r="N6" s="28">
        <f>SUM($L$3:L6)</f>
        <v>0</v>
      </c>
      <c r="O6" s="28">
        <f>SUM($M$3:M6)</f>
        <v>29621.762778999357</v>
      </c>
      <c r="Q6">
        <f>MATCH(C6,Ground!$A$3:$A$1999,1)</f>
        <v>21</v>
      </c>
      <c r="R6">
        <f ca="1">OFFSET(Ground!$A$2,Volume!Q6,0)</f>
        <v>4600</v>
      </c>
      <c r="S6">
        <f ca="1">OFFSET(Ground!$A$2,Volume!Q6,1)</f>
        <v>643.063261</v>
      </c>
      <c r="T6">
        <f ca="1">OFFSET(Ground!$A$2,Volume!Q6+1,0)</f>
        <v>4630</v>
      </c>
      <c r="U6">
        <f ca="1">OFFSET(Ground!$A$2,Volume!Q6+1,1)</f>
        <v>642.851972</v>
      </c>
      <c r="W6">
        <f t="shared" si="0"/>
        <v>30.441165213181907</v>
      </c>
      <c r="X6">
        <f>IF(Volume!W6&lt;'Temp Calcs'!$E$8,1,0)</f>
        <v>0</v>
      </c>
      <c r="Z6">
        <f t="shared" si="1"/>
        <v>-30.68073838327194</v>
      </c>
      <c r="AA6">
        <f>IF(Volume!Z6&gt;'Temp Calcs'!$L$8,1,0)</f>
        <v>0</v>
      </c>
    </row>
    <row r="7" spans="1:27" ht="12.75">
      <c r="A7" s="1">
        <v>6</v>
      </c>
      <c r="B7" s="1"/>
      <c r="C7" s="31">
        <f t="shared" si="2"/>
        <v>4632.300000000002</v>
      </c>
      <c r="D7" s="17">
        <f t="shared" si="3"/>
        <v>649.1538516566264</v>
      </c>
      <c r="E7" s="17">
        <f t="shared" si="4"/>
        <v>-2.3908132530120483</v>
      </c>
      <c r="F7" s="1"/>
      <c r="G7">
        <f t="shared" si="5"/>
        <v>642.8277076133334</v>
      </c>
      <c r="H7" s="8">
        <f t="shared" si="6"/>
        <v>6.326144043293084</v>
      </c>
      <c r="I7" s="30">
        <f>IF(H7&lt;1,(Data!$G$16+14+0.8*Data!$G$17+Data!$G$18*(1-H7))*(1-H7),(Data!$G$16+6+Data!$G$17*(H7-0.6))*(H7-0.6))</f>
        <v>222.77320711085284</v>
      </c>
      <c r="J7" s="28">
        <f t="shared" si="7"/>
        <v>5663.257794817206</v>
      </c>
      <c r="K7" t="str">
        <f t="shared" si="8"/>
        <v>Fill</v>
      </c>
      <c r="L7" s="28">
        <f t="shared" si="9"/>
        <v>0</v>
      </c>
      <c r="M7" s="28">
        <f t="shared" si="10"/>
        <v>5663.257794817206</v>
      </c>
      <c r="N7" s="28">
        <f>SUM($L$3:L7)</f>
        <v>0</v>
      </c>
      <c r="O7" s="28">
        <f>SUM($M$3:M7)</f>
        <v>35285.02057381656</v>
      </c>
      <c r="Q7">
        <f>MATCH(C7,Ground!$A$3:$A$1999,1)</f>
        <v>22</v>
      </c>
      <c r="R7">
        <f ca="1">OFFSET(Ground!$A$2,Volume!Q7,0)</f>
        <v>4630</v>
      </c>
      <c r="S7">
        <f ca="1">OFFSET(Ground!$A$2,Volume!Q7,1)</f>
        <v>642.851972</v>
      </c>
      <c r="T7">
        <f ca="1">OFFSET(Ground!$A$2,Volume!Q7+1,0)</f>
        <v>4660</v>
      </c>
      <c r="U7">
        <f ca="1">OFFSET(Ground!$A$2,Volume!Q7+1,1)</f>
        <v>642.53548</v>
      </c>
      <c r="W7">
        <f t="shared" si="0"/>
        <v>30.308892356168734</v>
      </c>
      <c r="X7">
        <f>IF(Volume!W7&lt;'Temp Calcs'!$E$8,1,0)</f>
        <v>0</v>
      </c>
      <c r="Z7">
        <f t="shared" si="1"/>
        <v>-30.551248779644304</v>
      </c>
      <c r="AA7">
        <f>IF(Volume!Z7&gt;'Temp Calcs'!$L$8,1,0)</f>
        <v>0</v>
      </c>
    </row>
    <row r="8" spans="1:27" ht="12.75">
      <c r="A8" s="1">
        <v>7</v>
      </c>
      <c r="B8" s="1"/>
      <c r="C8" s="31">
        <f t="shared" si="2"/>
        <v>4656.360000000002</v>
      </c>
      <c r="D8" s="17">
        <f t="shared" si="3"/>
        <v>648.5786219879517</v>
      </c>
      <c r="E8" s="17">
        <f t="shared" si="4"/>
        <v>-2.3908132530120483</v>
      </c>
      <c r="F8" s="1"/>
      <c r="G8">
        <f t="shared" si="5"/>
        <v>642.5738810293333</v>
      </c>
      <c r="H8" s="8">
        <f t="shared" si="6"/>
        <v>6.004740958618413</v>
      </c>
      <c r="I8" s="30">
        <f>IF(H8&lt;1,(Data!$G$16+14+0.8*Data!$G$17+Data!$G$18*(1-H8))*(1-H8),(Data!$G$16+6+Data!$G$17*(H8-0.6))*(H8-0.6))</f>
        <v>203.32075465696457</v>
      </c>
      <c r="J8" s="28">
        <f t="shared" si="7"/>
        <v>5125.910360066929</v>
      </c>
      <c r="K8" t="str">
        <f t="shared" si="8"/>
        <v>Fill</v>
      </c>
      <c r="L8" s="28">
        <f t="shared" si="9"/>
        <v>0</v>
      </c>
      <c r="M8" s="28">
        <f t="shared" si="10"/>
        <v>5125.910360066929</v>
      </c>
      <c r="N8" s="28">
        <f>SUM($L$3:L8)</f>
        <v>0</v>
      </c>
      <c r="O8" s="28">
        <f>SUM($M$3:M8)</f>
        <v>40410.93093388349</v>
      </c>
      <c r="Q8">
        <f>MATCH(C8,Ground!$A$3:$A$1999,1)</f>
        <v>22</v>
      </c>
      <c r="R8">
        <f ca="1">OFFSET(Ground!$A$2,Volume!Q8,0)</f>
        <v>4630</v>
      </c>
      <c r="S8">
        <f ca="1">OFFSET(Ground!$A$2,Volume!Q8,1)</f>
        <v>642.851972</v>
      </c>
      <c r="T8">
        <f ca="1">OFFSET(Ground!$A$2,Volume!Q8+1,0)</f>
        <v>4660</v>
      </c>
      <c r="U8">
        <f ca="1">OFFSET(Ground!$A$2,Volume!Q8+1,1)</f>
        <v>642.53548</v>
      </c>
      <c r="W8">
        <f t="shared" si="0"/>
        <v>30.173510001232508</v>
      </c>
      <c r="X8">
        <f>IF(Volume!W8&lt;'Temp Calcs'!$E$8,1,0)</f>
        <v>0</v>
      </c>
      <c r="Z8">
        <f t="shared" si="1"/>
        <v>-30.418715107394963</v>
      </c>
      <c r="AA8">
        <f>IF(Volume!Z8&gt;'Temp Calcs'!$L$8,1,0)</f>
        <v>0</v>
      </c>
    </row>
    <row r="9" spans="1:27" ht="12.75">
      <c r="A9" s="1">
        <v>8</v>
      </c>
      <c r="B9" s="1"/>
      <c r="C9" s="31">
        <f t="shared" si="2"/>
        <v>4680.420000000003</v>
      </c>
      <c r="D9" s="17">
        <f t="shared" si="3"/>
        <v>648.003392319277</v>
      </c>
      <c r="E9" s="17">
        <f t="shared" si="4"/>
        <v>-2.3908132530120483</v>
      </c>
      <c r="F9" s="1"/>
      <c r="G9">
        <f t="shared" si="5"/>
        <v>642.377269924</v>
      </c>
      <c r="H9" s="8">
        <f t="shared" si="6"/>
        <v>5.626122395277093</v>
      </c>
      <c r="I9" s="30">
        <f>IF(H9&lt;1,(Data!$G$16+14+0.8*Data!$G$17+Data!$G$18*(1-H9))*(1-H9),(Data!$G$16+6+Data!$G$17*(H9-0.6))*(H9-0.6))</f>
        <v>181.4655836536573</v>
      </c>
      <c r="J9" s="28">
        <f t="shared" si="7"/>
        <v>4628.979649876858</v>
      </c>
      <c r="K9" t="str">
        <f t="shared" si="8"/>
        <v>Fill</v>
      </c>
      <c r="L9" s="28">
        <f t="shared" si="9"/>
        <v>0</v>
      </c>
      <c r="M9" s="28">
        <f t="shared" si="10"/>
        <v>4628.979649876858</v>
      </c>
      <c r="N9" s="28">
        <f>SUM($L$3:L9)</f>
        <v>0</v>
      </c>
      <c r="O9" s="28">
        <f>SUM($M$3:M9)</f>
        <v>45039.91058376034</v>
      </c>
      <c r="Q9">
        <f>MATCH(C9,Ground!$A$3:$A$1999,1)</f>
        <v>23</v>
      </c>
      <c r="R9">
        <f ca="1">OFFSET(Ground!$A$2,Volume!Q9,0)</f>
        <v>4660</v>
      </c>
      <c r="S9">
        <f ca="1">OFFSET(Ground!$A$2,Volume!Q9,1)</f>
        <v>642.53548</v>
      </c>
      <c r="T9">
        <f ca="1">OFFSET(Ground!$A$2,Volume!Q9+1,0)</f>
        <v>4690</v>
      </c>
      <c r="U9">
        <f ca="1">OFFSET(Ground!$A$2,Volume!Q9+1,1)</f>
        <v>642.303046</v>
      </c>
      <c r="W9">
        <f t="shared" si="0"/>
        <v>30.03490719614001</v>
      </c>
      <c r="X9">
        <f>IF(Volume!W9&lt;'Temp Calcs'!$E$8,1,0)</f>
        <v>0</v>
      </c>
      <c r="Z9">
        <f t="shared" si="1"/>
        <v>-30.28302874892069</v>
      </c>
      <c r="AA9">
        <f>IF(Volume!Z9&gt;'Temp Calcs'!$L$8,1,0)</f>
        <v>0</v>
      </c>
    </row>
    <row r="10" spans="1:27" ht="12.75">
      <c r="A10" s="1">
        <v>9</v>
      </c>
      <c r="B10" s="1"/>
      <c r="C10" s="31">
        <f t="shared" si="2"/>
        <v>4704.480000000003</v>
      </c>
      <c r="D10" s="17">
        <f t="shared" si="3"/>
        <v>647.4281626506023</v>
      </c>
      <c r="E10" s="17">
        <f t="shared" si="4"/>
        <v>-2.3908132530120483</v>
      </c>
      <c r="F10" s="1"/>
      <c r="G10">
        <f t="shared" si="5"/>
        <v>642.1709570266667</v>
      </c>
      <c r="H10" s="8">
        <f t="shared" si="6"/>
        <v>5.257205623935647</v>
      </c>
      <c r="I10" s="30">
        <f>IF(H10&lt;1,(Data!$G$16+14+0.8*Data!$G$17+Data!$G$18*(1-H10))*(1-H10),(Data!$G$16+6+Data!$G$17*(H10-0.6))*(H10-0.6))</f>
        <v>161.27354687744165</v>
      </c>
      <c r="J10" s="28">
        <f t="shared" si="7"/>
        <v>4123.151740289189</v>
      </c>
      <c r="K10" t="str">
        <f t="shared" si="8"/>
        <v>Fill</v>
      </c>
      <c r="L10" s="28">
        <f t="shared" si="9"/>
        <v>0</v>
      </c>
      <c r="M10" s="28">
        <f t="shared" si="10"/>
        <v>4123.151740289189</v>
      </c>
      <c r="N10" s="28">
        <f>SUM($L$3:L10)</f>
        <v>0</v>
      </c>
      <c r="O10" s="28">
        <f>SUM($M$3:M10)</f>
        <v>49163.06232404953</v>
      </c>
      <c r="Q10">
        <f>MATCH(C10,Ground!$A$3:$A$1999,1)</f>
        <v>24</v>
      </c>
      <c r="R10">
        <f ca="1">OFFSET(Ground!$A$2,Volume!Q10,0)</f>
        <v>4690</v>
      </c>
      <c r="S10">
        <f ca="1">OFFSET(Ground!$A$2,Volume!Q10,1)</f>
        <v>642.303046</v>
      </c>
      <c r="T10">
        <f ca="1">OFFSET(Ground!$A$2,Volume!Q10+1,0)</f>
        <v>4720</v>
      </c>
      <c r="U10">
        <f ca="1">OFFSET(Ground!$A$2,Volume!Q10+1,1)</f>
        <v>642.029381</v>
      </c>
      <c r="W10">
        <f t="shared" si="0"/>
        <v>29.89296764649712</v>
      </c>
      <c r="X10">
        <f>IF(Volume!W10&lt;'Temp Calcs'!$E$8,1,0)</f>
        <v>0</v>
      </c>
      <c r="Z10">
        <f t="shared" si="1"/>
        <v>-30.144075856865793</v>
      </c>
      <c r="AA10">
        <f>IF(Volume!Z10&gt;'Temp Calcs'!$L$8,1,0)</f>
        <v>0</v>
      </c>
    </row>
    <row r="11" spans="1:27" ht="12.75">
      <c r="A11" s="1">
        <v>10</v>
      </c>
      <c r="B11" s="1"/>
      <c r="C11" s="31">
        <f t="shared" si="2"/>
        <v>4728.540000000004</v>
      </c>
      <c r="D11" s="17">
        <f t="shared" si="3"/>
        <v>646.8529329819276</v>
      </c>
      <c r="E11" s="17">
        <f t="shared" si="4"/>
        <v>-2.3908132530120483</v>
      </c>
      <c r="F11" s="1"/>
      <c r="G11">
        <f t="shared" si="5"/>
        <v>641.9526496693333</v>
      </c>
      <c r="H11" s="8">
        <f t="shared" si="6"/>
        <v>4.900283312594297</v>
      </c>
      <c r="I11" s="30">
        <f>IF(H11&lt;1,(Data!$G$16+14+0.8*Data!$G$17+Data!$G$18*(1-H11))*(1-H11),(Data!$G$16+6+Data!$G$17*(H11-0.6))*(H11-0.6))</f>
        <v>142.7742792758167</v>
      </c>
      <c r="J11" s="28">
        <f t="shared" si="7"/>
        <v>3657.695348623759</v>
      </c>
      <c r="K11" t="str">
        <f t="shared" si="8"/>
        <v>Fill</v>
      </c>
      <c r="L11" s="28">
        <f t="shared" si="9"/>
        <v>0</v>
      </c>
      <c r="M11" s="28">
        <f t="shared" si="10"/>
        <v>3657.695348623759</v>
      </c>
      <c r="N11" s="28">
        <f>SUM($L$3:L11)</f>
        <v>0</v>
      </c>
      <c r="O11" s="28">
        <f>SUM($M$3:M11)</f>
        <v>52820.757672673295</v>
      </c>
      <c r="Q11">
        <f>MATCH(C11,Ground!$A$3:$A$1999,1)</f>
        <v>25</v>
      </c>
      <c r="R11">
        <f ca="1">OFFSET(Ground!$A$2,Volume!Q11,0)</f>
        <v>4720</v>
      </c>
      <c r="S11">
        <f ca="1">OFFSET(Ground!$A$2,Volume!Q11,1)</f>
        <v>642.029381</v>
      </c>
      <c r="T11">
        <f ca="1">OFFSET(Ground!$A$2,Volume!Q11+1,0)</f>
        <v>4750</v>
      </c>
      <c r="U11">
        <f ca="1">OFFSET(Ground!$A$2,Volume!Q11+1,1)</f>
        <v>641.759833</v>
      </c>
      <c r="W11">
        <f t="shared" si="0"/>
        <v>29.747569390311074</v>
      </c>
      <c r="X11">
        <f>IF(Volume!W11&lt;'Temp Calcs'!$E$8,1,0)</f>
        <v>0</v>
      </c>
      <c r="Z11">
        <f t="shared" si="1"/>
        <v>-30.001737035532216</v>
      </c>
      <c r="AA11">
        <f>IF(Volume!Z11&gt;'Temp Calcs'!$L$8,1,0)</f>
        <v>0</v>
      </c>
    </row>
    <row r="12" spans="1:27" ht="12.75">
      <c r="A12" s="1">
        <v>11</v>
      </c>
      <c r="B12" s="1"/>
      <c r="C12" s="31">
        <f t="shared" si="2"/>
        <v>4752.600000000004</v>
      </c>
      <c r="D12" s="17">
        <f t="shared" si="3"/>
        <v>646.2777033132529</v>
      </c>
      <c r="E12" s="17">
        <f t="shared" si="4"/>
        <v>-2.3908132530120483</v>
      </c>
      <c r="F12" s="1"/>
      <c r="G12">
        <f t="shared" si="5"/>
        <v>641.7340273933332</v>
      </c>
      <c r="H12" s="8">
        <f t="shared" si="6"/>
        <v>4.543675919919679</v>
      </c>
      <c r="I12" s="30">
        <f>IF(H12&lt;1,(Data!$G$16+14+0.8*Data!$G$17+Data!$G$18*(1-H12))*(1-H12),(Data!$G$16+6+Data!$G$17*(H12-0.6))*(H12-0.6))</f>
        <v>125.30913376413216</v>
      </c>
      <c r="J12" s="28">
        <f t="shared" si="7"/>
        <v>3225.043458870638</v>
      </c>
      <c r="K12" t="str">
        <f t="shared" si="8"/>
        <v>Fill</v>
      </c>
      <c r="L12" s="28">
        <f t="shared" si="9"/>
        <v>0</v>
      </c>
      <c r="M12" s="28">
        <f t="shared" si="10"/>
        <v>3225.043458870638</v>
      </c>
      <c r="N12" s="28">
        <f>SUM($L$3:L12)</f>
        <v>0</v>
      </c>
      <c r="O12" s="28">
        <f>SUM($M$3:M12)</f>
        <v>56045.801131543936</v>
      </c>
      <c r="Q12">
        <f>MATCH(C12,Ground!$A$3:$A$1999,1)</f>
        <v>26</v>
      </c>
      <c r="R12">
        <f ca="1">OFFSET(Ground!$A$2,Volume!Q12,0)</f>
        <v>4750</v>
      </c>
      <c r="S12">
        <f ca="1">OFFSET(Ground!$A$2,Volume!Q12,1)</f>
        <v>641.759833</v>
      </c>
      <c r="T12">
        <f ca="1">OFFSET(Ground!$A$2,Volume!Q12+1,0)</f>
        <v>4780</v>
      </c>
      <c r="U12">
        <f ca="1">OFFSET(Ground!$A$2,Volume!Q12+1,1)</f>
        <v>641.462076</v>
      </c>
      <c r="W12">
        <f t="shared" si="0"/>
        <v>29.598584448469794</v>
      </c>
      <c r="X12">
        <f>IF(Volume!W12&lt;'Temp Calcs'!$E$8,1,0)</f>
        <v>0</v>
      </c>
      <c r="Z12">
        <f t="shared" si="1"/>
        <v>-29.8558869987133</v>
      </c>
      <c r="AA12">
        <f>IF(Volume!Z12&gt;'Temp Calcs'!$L$8,1,0)</f>
        <v>0</v>
      </c>
    </row>
    <row r="13" spans="1:27" ht="12.75">
      <c r="A13" s="1">
        <v>12</v>
      </c>
      <c r="B13" s="1"/>
      <c r="C13" s="31">
        <f t="shared" si="2"/>
        <v>4776.660000000004</v>
      </c>
      <c r="D13" s="17">
        <f t="shared" si="3"/>
        <v>645.7024736445782</v>
      </c>
      <c r="E13" s="17">
        <f t="shared" si="4"/>
        <v>-2.3908132530120483</v>
      </c>
      <c r="F13" s="1"/>
      <c r="G13">
        <f t="shared" si="5"/>
        <v>641.4952262793333</v>
      </c>
      <c r="H13" s="8">
        <f t="shared" si="6"/>
        <v>4.207247365244825</v>
      </c>
      <c r="I13" s="30">
        <f>IF(H13&lt;1,(Data!$G$16+14+0.8*Data!$G$17+Data!$G$18*(1-H13))*(1-H13),(Data!$G$16+6+Data!$G$17*(H13-0.6))*(H13-0.6))</f>
        <v>109.76489206018014</v>
      </c>
      <c r="J13" s="28">
        <f t="shared" si="7"/>
        <v>2827.940530666524</v>
      </c>
      <c r="K13" t="str">
        <f t="shared" si="8"/>
        <v>Fill</v>
      </c>
      <c r="L13" s="28">
        <f t="shared" si="9"/>
        <v>0</v>
      </c>
      <c r="M13" s="28">
        <f t="shared" si="10"/>
        <v>2827.940530666524</v>
      </c>
      <c r="N13" s="28">
        <f>SUM($L$3:L13)</f>
        <v>0</v>
      </c>
      <c r="O13" s="28">
        <f>SUM($M$3:M13)</f>
        <v>58873.74166221046</v>
      </c>
      <c r="Q13">
        <f>MATCH(C13,Ground!$A$3:$A$1999,1)</f>
        <v>26</v>
      </c>
      <c r="R13">
        <f ca="1">OFFSET(Ground!$A$2,Volume!Q13,0)</f>
        <v>4750</v>
      </c>
      <c r="S13">
        <f ca="1">OFFSET(Ground!$A$2,Volume!Q13,1)</f>
        <v>641.759833</v>
      </c>
      <c r="T13">
        <f ca="1">OFFSET(Ground!$A$2,Volume!Q13+1,0)</f>
        <v>4780</v>
      </c>
      <c r="U13">
        <f ca="1">OFFSET(Ground!$A$2,Volume!Q13+1,1)</f>
        <v>641.462076</v>
      </c>
      <c r="W13">
        <f t="shared" si="0"/>
        <v>29.445878449032147</v>
      </c>
      <c r="X13">
        <f>IF(Volume!W13&lt;'Temp Calcs'!$E$8,1,0)</f>
        <v>0</v>
      </c>
      <c r="Z13">
        <f t="shared" si="1"/>
        <v>-29.706394201889733</v>
      </c>
      <c r="AA13">
        <f>IF(Volume!Z13&gt;'Temp Calcs'!$L$8,1,0)</f>
        <v>0</v>
      </c>
    </row>
    <row r="14" spans="1:27" ht="12.75">
      <c r="A14" s="1">
        <v>13</v>
      </c>
      <c r="B14" s="1"/>
      <c r="C14" s="31">
        <f t="shared" si="2"/>
        <v>4800.720000000005</v>
      </c>
      <c r="D14" s="17">
        <f t="shared" si="3"/>
        <v>645.1272439759035</v>
      </c>
      <c r="E14" s="17">
        <f t="shared" si="4"/>
        <v>-2.3908132530120483</v>
      </c>
      <c r="F14" s="1"/>
      <c r="G14">
        <f t="shared" si="5"/>
        <v>641.2256607999999</v>
      </c>
      <c r="H14" s="8">
        <f t="shared" si="6"/>
        <v>3.9015831759036246</v>
      </c>
      <c r="I14" s="30">
        <f>IF(H14&lt;1,(Data!$G$16+14+0.8*Data!$G$17+Data!$G$18*(1-H14))*(1-H14),(Data!$G$16+6+Data!$G$17*(H14-0.6))*(H14-0.6))</f>
        <v>96.42713668409745</v>
      </c>
      <c r="J14" s="28">
        <f t="shared" si="7"/>
        <v>2480.490105793701</v>
      </c>
      <c r="K14" t="str">
        <f t="shared" si="8"/>
        <v>Fill</v>
      </c>
      <c r="L14" s="28">
        <f t="shared" si="9"/>
        <v>0</v>
      </c>
      <c r="M14" s="28">
        <f t="shared" si="10"/>
        <v>2480.490105793701</v>
      </c>
      <c r="N14" s="28">
        <f>SUM($L$3:L14)</f>
        <v>0</v>
      </c>
      <c r="O14" s="28">
        <f>SUM($M$3:M14)</f>
        <v>61354.23176800416</v>
      </c>
      <c r="Q14">
        <f>MATCH(C14,Ground!$A$3:$A$1999,1)</f>
        <v>27</v>
      </c>
      <c r="R14">
        <f ca="1">OFFSET(Ground!$A$2,Volume!Q14,0)</f>
        <v>4780</v>
      </c>
      <c r="S14">
        <f ca="1">OFFSET(Ground!$A$2,Volume!Q14,1)</f>
        <v>641.462076</v>
      </c>
      <c r="T14">
        <f ca="1">OFFSET(Ground!$A$2,Volume!Q14+1,0)</f>
        <v>4810</v>
      </c>
      <c r="U14">
        <f ca="1">OFFSET(Ground!$A$2,Volume!Q14+1,1)</f>
        <v>641.119776</v>
      </c>
      <c r="W14">
        <f t="shared" si="0"/>
        <v>29.289310223010304</v>
      </c>
      <c r="X14">
        <f>IF(Volume!W14&lt;'Temp Calcs'!$E$8,1,0)</f>
        <v>0</v>
      </c>
      <c r="Z14">
        <f t="shared" si="1"/>
        <v>-29.553120446517294</v>
      </c>
      <c r="AA14">
        <f>IF(Volume!Z14&gt;'Temp Calcs'!$L$8,1,0)</f>
        <v>0</v>
      </c>
    </row>
    <row r="15" spans="1:27" ht="12.75">
      <c r="A15" s="1">
        <v>14</v>
      </c>
      <c r="B15" s="1"/>
      <c r="C15" s="31">
        <f t="shared" si="2"/>
        <v>4824.780000000005</v>
      </c>
      <c r="D15" s="17">
        <f t="shared" si="3"/>
        <v>644.5520143072288</v>
      </c>
      <c r="E15" s="17">
        <f t="shared" si="4"/>
        <v>-2.3908132530120483</v>
      </c>
      <c r="F15" s="1"/>
      <c r="G15">
        <f t="shared" si="5"/>
        <v>640.9874329239999</v>
      </c>
      <c r="H15" s="8">
        <f t="shared" si="6"/>
        <v>3.5645813832288695</v>
      </c>
      <c r="I15" s="30">
        <f>IF(H15&lt;1,(Data!$G$16+14+0.8*Data!$G$17+Data!$G$18*(1-H15))*(1-H15),(Data!$G$16+6+Data!$G$17*(H15-0.6))*(H15-0.6))</f>
        <v>82.5882732428107</v>
      </c>
      <c r="J15" s="28">
        <f t="shared" si="7"/>
        <v>2153.555381420741</v>
      </c>
      <c r="K15" t="str">
        <f t="shared" si="8"/>
        <v>Fill</v>
      </c>
      <c r="L15" s="28">
        <f t="shared" si="9"/>
        <v>0</v>
      </c>
      <c r="M15" s="28">
        <f t="shared" si="10"/>
        <v>2153.555381420741</v>
      </c>
      <c r="N15" s="28">
        <f>SUM($L$3:L15)</f>
        <v>0</v>
      </c>
      <c r="O15" s="28">
        <f>SUM($M$3:M15)</f>
        <v>63507.7871494249</v>
      </c>
      <c r="Q15">
        <f>MATCH(C15,Ground!$A$3:$A$1999,1)</f>
        <v>28</v>
      </c>
      <c r="R15">
        <f ca="1">OFFSET(Ground!$A$2,Volume!Q15,0)</f>
        <v>4810</v>
      </c>
      <c r="S15">
        <f ca="1">OFFSET(Ground!$A$2,Volume!Q15,1)</f>
        <v>641.119776</v>
      </c>
      <c r="T15">
        <f ca="1">OFFSET(Ground!$A$2,Volume!Q15+1,0)</f>
        <v>4840</v>
      </c>
      <c r="U15">
        <f ca="1">OFFSET(Ground!$A$2,Volume!Q15+1,1)</f>
        <v>640.85115</v>
      </c>
      <c r="W15">
        <f t="shared" si="0"/>
        <v>29.128731369090023</v>
      </c>
      <c r="X15">
        <f>IF(Volume!W15&lt;'Temp Calcs'!$E$8,1,0)</f>
        <v>0</v>
      </c>
      <c r="Z15">
        <f t="shared" si="1"/>
        <v>-29.39592045390621</v>
      </c>
      <c r="AA15">
        <f>IF(Volume!Z15&gt;'Temp Calcs'!$L$8,1,0)</f>
        <v>0</v>
      </c>
    </row>
    <row r="16" spans="1:27" ht="12.75">
      <c r="A16" s="1">
        <v>15</v>
      </c>
      <c r="B16" s="1"/>
      <c r="C16" s="31">
        <f t="shared" si="2"/>
        <v>4848.840000000006</v>
      </c>
      <c r="D16" s="17">
        <f t="shared" si="3"/>
        <v>643.976784638554</v>
      </c>
      <c r="E16" s="17">
        <f t="shared" si="4"/>
        <v>-2.3908132530120483</v>
      </c>
      <c r="F16" s="1"/>
      <c r="G16">
        <f t="shared" si="5"/>
        <v>640.7782792279999</v>
      </c>
      <c r="H16" s="8">
        <f t="shared" si="6"/>
        <v>3.198505410554162</v>
      </c>
      <c r="I16" s="30">
        <f>IF(H16&lt;1,(Data!$G$16+14+0.8*Data!$G$17+Data!$G$18*(1-H16))*(1-H16),(Data!$G$16+6+Data!$G$17*(H16-0.6))*(H16-0.6))</f>
        <v>68.58500804358361</v>
      </c>
      <c r="J16" s="28">
        <f t="shared" si="7"/>
        <v>1818.614573875354</v>
      </c>
      <c r="K16" t="str">
        <f t="shared" si="8"/>
        <v>Fill</v>
      </c>
      <c r="L16" s="28">
        <f t="shared" si="9"/>
        <v>0</v>
      </c>
      <c r="M16" s="28">
        <f t="shared" si="10"/>
        <v>1818.614573875354</v>
      </c>
      <c r="N16" s="28">
        <f>SUM($L$3:L16)</f>
        <v>0</v>
      </c>
      <c r="O16" s="28">
        <f>SUM($M$3:M16)</f>
        <v>65326.40172330025</v>
      </c>
      <c r="Q16">
        <f>MATCH(C16,Ground!$A$3:$A$1999,1)</f>
        <v>29</v>
      </c>
      <c r="R16">
        <f ca="1">OFFSET(Ground!$A$2,Volume!Q16,0)</f>
        <v>4840</v>
      </c>
      <c r="S16">
        <f ca="1">OFFSET(Ground!$A$2,Volume!Q16,1)</f>
        <v>640.85115</v>
      </c>
      <c r="T16">
        <f ca="1">OFFSET(Ground!$A$2,Volume!Q16+1,0)</f>
        <v>4870</v>
      </c>
      <c r="U16">
        <f ca="1">OFFSET(Ground!$A$2,Volume!Q16+1,1)</f>
        <v>640.603851</v>
      </c>
      <c r="W16">
        <f t="shared" si="0"/>
        <v>28.963985784465663</v>
      </c>
      <c r="X16">
        <f>IF(Volume!W16&lt;'Temp Calcs'!$E$8,1,0)</f>
        <v>0</v>
      </c>
      <c r="Z16">
        <f t="shared" si="1"/>
        <v>-29.234641405928233</v>
      </c>
      <c r="AA16">
        <f>IF(Volume!Z16&gt;'Temp Calcs'!$L$8,1,0)</f>
        <v>0</v>
      </c>
    </row>
    <row r="17" spans="1:27" ht="12.75">
      <c r="A17" s="1">
        <v>16</v>
      </c>
      <c r="B17" s="1"/>
      <c r="C17" s="31">
        <f t="shared" si="2"/>
        <v>4872.900000000006</v>
      </c>
      <c r="D17" s="17">
        <f t="shared" si="3"/>
        <v>643.4015549698794</v>
      </c>
      <c r="E17" s="17">
        <f t="shared" si="4"/>
        <v>-2.3908132530120483</v>
      </c>
      <c r="F17" s="1"/>
      <c r="G17">
        <f t="shared" si="5"/>
        <v>640.5710008633332</v>
      </c>
      <c r="H17" s="8">
        <f t="shared" si="6"/>
        <v>2.830554106546174</v>
      </c>
      <c r="I17" s="30">
        <f>IF(H17&lt;1,(Data!$G$16+14+0.8*Data!$G$17+Data!$G$18*(1-H17))*(1-H17),(Data!$G$16+6+Data!$G$17*(H17-0.6))*(H17-0.6))</f>
        <v>55.59035219365878</v>
      </c>
      <c r="J17" s="28">
        <f t="shared" si="7"/>
        <v>1493.8295836540508</v>
      </c>
      <c r="K17" t="str">
        <f t="shared" si="8"/>
        <v>Fill</v>
      </c>
      <c r="L17" s="28">
        <f t="shared" si="9"/>
        <v>0</v>
      </c>
      <c r="M17" s="28">
        <f t="shared" si="10"/>
        <v>1493.8295836540508</v>
      </c>
      <c r="N17" s="28">
        <f>SUM($L$3:L17)</f>
        <v>0</v>
      </c>
      <c r="O17" s="28">
        <f>SUM($M$3:M17)</f>
        <v>66820.2313069543</v>
      </c>
      <c r="Q17">
        <f>MATCH(C17,Ground!$A$3:$A$1999,1)</f>
        <v>30</v>
      </c>
      <c r="R17">
        <f ca="1">OFFSET(Ground!$A$2,Volume!Q17,0)</f>
        <v>4870</v>
      </c>
      <c r="S17">
        <f ca="1">OFFSET(Ground!$A$2,Volume!Q17,1)</f>
        <v>640.603851</v>
      </c>
      <c r="T17">
        <f ca="1">OFFSET(Ground!$A$2,Volume!Q17+1,0)</f>
        <v>4900</v>
      </c>
      <c r="U17">
        <f ca="1">OFFSET(Ground!$A$2,Volume!Q17+1,1)</f>
        <v>640.264022</v>
      </c>
      <c r="W17">
        <f t="shared" si="0"/>
        <v>28.79490915867396</v>
      </c>
      <c r="X17">
        <f>IF(Volume!W17&lt;'Temp Calcs'!$E$8,1,0)</f>
        <v>0</v>
      </c>
      <c r="Z17">
        <f t="shared" si="1"/>
        <v>-29.06912244950102</v>
      </c>
      <c r="AA17">
        <f>IF(Volume!Z17&gt;'Temp Calcs'!$L$8,1,0)</f>
        <v>0</v>
      </c>
    </row>
    <row r="18" spans="1:27" ht="12.75">
      <c r="A18" s="1">
        <v>17</v>
      </c>
      <c r="B18" s="1"/>
      <c r="C18" s="31">
        <f t="shared" si="2"/>
        <v>4896.960000000006</v>
      </c>
      <c r="D18" s="17">
        <f t="shared" si="3"/>
        <v>642.8263253012046</v>
      </c>
      <c r="E18" s="17">
        <f t="shared" si="4"/>
        <v>-2.3908132530120483</v>
      </c>
      <c r="F18" s="1"/>
      <c r="G18">
        <f t="shared" si="5"/>
        <v>640.2984580053333</v>
      </c>
      <c r="H18" s="8">
        <f t="shared" si="6"/>
        <v>2.527867295871374</v>
      </c>
      <c r="I18" s="30">
        <f>IF(H18&lt;1,(Data!$G$16+14+0.8*Data!$G$17+Data!$G$18*(1-H18))*(1-H18),(Data!$G$16+6+Data!$G$17*(H18-0.6))*(H18-0.6))</f>
        <v>45.71256597590361</v>
      </c>
      <c r="J18" s="28">
        <f t="shared" si="7"/>
        <v>1218.674105579856</v>
      </c>
      <c r="K18" t="str">
        <f t="shared" si="8"/>
        <v>Fill</v>
      </c>
      <c r="L18" s="28">
        <f t="shared" si="9"/>
        <v>0</v>
      </c>
      <c r="M18" s="28">
        <f t="shared" si="10"/>
        <v>1218.674105579856</v>
      </c>
      <c r="N18" s="28">
        <f>SUM($L$3:L18)</f>
        <v>0</v>
      </c>
      <c r="O18" s="28">
        <f>SUM($M$3:M18)</f>
        <v>68038.90541253416</v>
      </c>
      <c r="Q18">
        <f>MATCH(C18,Ground!$A$3:$A$1999,1)</f>
        <v>30</v>
      </c>
      <c r="R18">
        <f ca="1">OFFSET(Ground!$A$2,Volume!Q18,0)</f>
        <v>4870</v>
      </c>
      <c r="S18">
        <f ca="1">OFFSET(Ground!$A$2,Volume!Q18,1)</f>
        <v>640.603851</v>
      </c>
      <c r="T18">
        <f ca="1">OFFSET(Ground!$A$2,Volume!Q18+1,0)</f>
        <v>4900</v>
      </c>
      <c r="U18">
        <f ca="1">OFFSET(Ground!$A$2,Volume!Q18+1,1)</f>
        <v>640.264022</v>
      </c>
      <c r="W18">
        <f t="shared" si="0"/>
        <v>28.621328426975822</v>
      </c>
      <c r="X18">
        <f>IF(Volume!W18&lt;'Temp Calcs'!$E$8,1,0)</f>
        <v>0</v>
      </c>
      <c r="Z18">
        <f t="shared" si="1"/>
        <v>-28.89919416147177</v>
      </c>
      <c r="AA18">
        <f>IF(Volume!Z18&gt;'Temp Calcs'!$L$8,1,0)</f>
        <v>0</v>
      </c>
    </row>
    <row r="19" spans="1:27" ht="12.75">
      <c r="A19" s="1">
        <v>18</v>
      </c>
      <c r="B19" s="1"/>
      <c r="C19" s="31">
        <f t="shared" si="2"/>
        <v>4921.020000000007</v>
      </c>
      <c r="D19" s="17">
        <f t="shared" si="3"/>
        <v>642.2510956325299</v>
      </c>
      <c r="E19" s="17">
        <f t="shared" si="4"/>
        <v>-2.3908132530120483</v>
      </c>
      <c r="F19" s="1"/>
      <c r="G19">
        <f t="shared" si="5"/>
        <v>640.0359837273332</v>
      </c>
      <c r="H19" s="8">
        <f t="shared" si="6"/>
        <v>2.215111905196636</v>
      </c>
      <c r="I19" s="30">
        <f>IF(H19&lt;1,(Data!$G$16+14+0.8*Data!$G$17+Data!$G$18*(1-H19))*(1-H19),(Data!$G$16+6+Data!$G$17*(H19-0.6))*(H19-0.6))</f>
        <v>36.27613634837781</v>
      </c>
      <c r="J19" s="28">
        <f t="shared" si="7"/>
        <v>986.3240889611219</v>
      </c>
      <c r="K19" t="str">
        <f t="shared" si="8"/>
        <v>Fill</v>
      </c>
      <c r="L19" s="28">
        <f t="shared" si="9"/>
        <v>0</v>
      </c>
      <c r="M19" s="28">
        <f t="shared" si="10"/>
        <v>986.3240889611219</v>
      </c>
      <c r="N19" s="28">
        <f>SUM($L$3:L19)</f>
        <v>0</v>
      </c>
      <c r="O19" s="28">
        <f>SUM($M$3:M19)</f>
        <v>69025.22950149528</v>
      </c>
      <c r="Q19">
        <f>MATCH(C19,Ground!$A$3:$A$1999,1)</f>
        <v>31</v>
      </c>
      <c r="R19">
        <f ca="1">OFFSET(Ground!$A$2,Volume!Q19,0)</f>
        <v>4900</v>
      </c>
      <c r="S19">
        <f ca="1">OFFSET(Ground!$A$2,Volume!Q19,1)</f>
        <v>640.264022</v>
      </c>
      <c r="T19">
        <f ca="1">OFFSET(Ground!$A$2,Volume!Q19+1,0)</f>
        <v>4930</v>
      </c>
      <c r="U19">
        <f ca="1">OFFSET(Ground!$A$2,Volume!Q19+1,1)</f>
        <v>639.938563</v>
      </c>
      <c r="W19">
        <f t="shared" si="0"/>
        <v>28.44306117946293</v>
      </c>
      <c r="X19">
        <f>IF(Volume!W19&lt;'Temp Calcs'!$E$8,1,0)</f>
        <v>0</v>
      </c>
      <c r="Z19">
        <f t="shared" si="1"/>
        <v>-28.724677970157206</v>
      </c>
      <c r="AA19">
        <f>IF(Volume!Z19&gt;'Temp Calcs'!$L$8,1,0)</f>
        <v>0</v>
      </c>
    </row>
    <row r="20" spans="1:27" ht="12.75">
      <c r="A20" s="1">
        <v>19</v>
      </c>
      <c r="B20" s="1"/>
      <c r="C20" s="31">
        <f t="shared" si="2"/>
        <v>4945.080000000007</v>
      </c>
      <c r="D20" s="17">
        <f t="shared" si="3"/>
        <v>641.6758659638552</v>
      </c>
      <c r="E20" s="17">
        <f t="shared" si="4"/>
        <v>-2.3908132530120483</v>
      </c>
      <c r="F20" s="1"/>
      <c r="G20">
        <f t="shared" si="5"/>
        <v>639.7621501226666</v>
      </c>
      <c r="H20" s="8">
        <f t="shared" si="6"/>
        <v>1.9137158411886048</v>
      </c>
      <c r="I20" s="30">
        <f>IF(H20&lt;1,(Data!$G$16+14+0.8*Data!$G$17+Data!$G$18*(1-H20))*(1-H20),(Data!$G$16+6+Data!$G$17*(H20-0.6))*(H20-0.6))</f>
        <v>27.92285070457721</v>
      </c>
      <c r="J20" s="28">
        <f t="shared" si="7"/>
        <v>772.3138142470617</v>
      </c>
      <c r="K20" t="str">
        <f t="shared" si="8"/>
        <v>Fill</v>
      </c>
      <c r="L20" s="28">
        <f t="shared" si="9"/>
        <v>0</v>
      </c>
      <c r="M20" s="28">
        <f t="shared" si="10"/>
        <v>772.3138142470617</v>
      </c>
      <c r="N20" s="28">
        <f>SUM($L$3:L20)</f>
        <v>0</v>
      </c>
      <c r="O20" s="28">
        <f>SUM($M$3:M20)</f>
        <v>69797.54331574234</v>
      </c>
      <c r="Q20">
        <f>MATCH(C20,Ground!$A$3:$A$1999,1)</f>
        <v>32</v>
      </c>
      <c r="R20">
        <f ca="1">OFFSET(Ground!$A$2,Volume!Q20,0)</f>
        <v>4930</v>
      </c>
      <c r="S20">
        <f ca="1">OFFSET(Ground!$A$2,Volume!Q20,1)</f>
        <v>639.938563</v>
      </c>
      <c r="T20">
        <f ca="1">OFFSET(Ground!$A$2,Volume!Q20+1,0)</f>
        <v>4960</v>
      </c>
      <c r="U20">
        <f ca="1">OFFSET(Ground!$A$2,Volume!Q20+1,1)</f>
        <v>639.587609</v>
      </c>
      <c r="W20">
        <f t="shared" si="0"/>
        <v>28.259915021649377</v>
      </c>
      <c r="X20">
        <f>IF(Volume!W20&lt;'Temp Calcs'!$E$8,1,0)</f>
        <v>0</v>
      </c>
      <c r="Z20">
        <f t="shared" si="1"/>
        <v>-28.54538552938956</v>
      </c>
      <c r="AA20">
        <f>IF(Volume!Z20&gt;'Temp Calcs'!$L$8,1,0)</f>
        <v>0</v>
      </c>
    </row>
    <row r="21" spans="1:27" ht="12.75">
      <c r="A21" s="1">
        <v>20</v>
      </c>
      <c r="B21" s="1"/>
      <c r="C21" s="31">
        <f t="shared" si="2"/>
        <v>4969.140000000008</v>
      </c>
      <c r="D21" s="17">
        <f t="shared" si="3"/>
        <v>641.1006362951805</v>
      </c>
      <c r="E21" s="17">
        <f t="shared" si="4"/>
        <v>-2.3908132530120483</v>
      </c>
      <c r="F21" s="1"/>
      <c r="G21">
        <f t="shared" si="5"/>
        <v>639.469260624</v>
      </c>
      <c r="H21" s="8">
        <f t="shared" si="6"/>
        <v>1.6313756711805354</v>
      </c>
      <c r="I21" s="30">
        <f>IF(H21&lt;1,(Data!$G$16+14+0.8*Data!$G$17+Data!$G$18*(1-H21))*(1-H21),(Data!$G$16+6+Data!$G$17*(H21-0.6))*(H21-0.6))</f>
        <v>20.756953839300966</v>
      </c>
      <c r="J21" s="28">
        <f t="shared" si="7"/>
        <v>585.6180486628642</v>
      </c>
      <c r="K21" t="str">
        <f t="shared" si="8"/>
        <v>Fill</v>
      </c>
      <c r="L21" s="28">
        <f t="shared" si="9"/>
        <v>0</v>
      </c>
      <c r="M21" s="28">
        <f t="shared" si="10"/>
        <v>585.6180486628642</v>
      </c>
      <c r="N21" s="28">
        <f>SUM($L$3:L21)</f>
        <v>0</v>
      </c>
      <c r="O21" s="28">
        <f>SUM($M$3:M21)</f>
        <v>70383.1613644052</v>
      </c>
      <c r="Q21">
        <f>MATCH(C21,Ground!$A$3:$A$1999,1)</f>
        <v>33</v>
      </c>
      <c r="R21">
        <f ca="1">OFFSET(Ground!$A$2,Volume!Q21,0)</f>
        <v>4960</v>
      </c>
      <c r="S21">
        <f ca="1">OFFSET(Ground!$A$2,Volume!Q21,1)</f>
        <v>639.587609</v>
      </c>
      <c r="T21">
        <f ca="1">OFFSET(Ground!$A$2,Volume!Q21+1,0)</f>
        <v>4990</v>
      </c>
      <c r="U21">
        <f ca="1">OFFSET(Ground!$A$2,Volume!Q21+1,1)</f>
        <v>639.199157</v>
      </c>
      <c r="W21">
        <f t="shared" si="0"/>
        <v>28.071686881836012</v>
      </c>
      <c r="X21">
        <f>IF(Volume!W21&lt;'Temp Calcs'!$E$8,1,0)</f>
        <v>0</v>
      </c>
      <c r="Z21">
        <f t="shared" si="1"/>
        <v>-28.36111804045513</v>
      </c>
      <c r="AA21">
        <f>IF(Volume!Z21&gt;'Temp Calcs'!$L$8,1,0)</f>
        <v>0</v>
      </c>
    </row>
    <row r="22" spans="1:27" ht="12.75">
      <c r="A22" s="1">
        <v>21</v>
      </c>
      <c r="B22" s="1"/>
      <c r="C22" s="31">
        <f t="shared" si="2"/>
        <v>4993.200000000008</v>
      </c>
      <c r="D22" s="17">
        <f t="shared" si="3"/>
        <v>640.5254066265059</v>
      </c>
      <c r="E22" s="17">
        <f t="shared" si="4"/>
        <v>-2.3908132530120483</v>
      </c>
      <c r="F22" s="1"/>
      <c r="G22">
        <f t="shared" si="5"/>
        <v>639.1620667599999</v>
      </c>
      <c r="H22" s="8">
        <f t="shared" si="6"/>
        <v>1.363339866505953</v>
      </c>
      <c r="I22" s="30">
        <f>IF(H22&lt;1,(Data!$G$16+14+0.8*Data!$G$17+Data!$G$18*(1-H22))*(1-H22),(Data!$G$16+6+Data!$G$17*(H22-0.6))*(H22-0.6))</f>
        <v>14.544188871284556</v>
      </c>
      <c r="J22" s="28">
        <f t="shared" si="7"/>
        <v>424.6727468083509</v>
      </c>
      <c r="K22" t="str">
        <f t="shared" si="8"/>
        <v>Fill</v>
      </c>
      <c r="L22" s="28">
        <f t="shared" si="9"/>
        <v>0</v>
      </c>
      <c r="M22" s="28">
        <f t="shared" si="10"/>
        <v>424.6727468083509</v>
      </c>
      <c r="N22" s="28">
        <f>SUM($L$3:L22)</f>
        <v>0</v>
      </c>
      <c r="O22" s="28">
        <f>SUM($M$3:M22)</f>
        <v>70807.83411121355</v>
      </c>
      <c r="Q22">
        <f>MATCH(C22,Ground!$A$3:$A$1999,1)</f>
        <v>34</v>
      </c>
      <c r="R22">
        <f ca="1">OFFSET(Ground!$A$2,Volume!Q22,0)</f>
        <v>4990</v>
      </c>
      <c r="S22">
        <f ca="1">OFFSET(Ground!$A$2,Volume!Q22,1)</f>
        <v>639.199157</v>
      </c>
      <c r="T22">
        <f ca="1">OFFSET(Ground!$A$2,Volume!Q22+1,0)</f>
        <v>5020</v>
      </c>
      <c r="U22">
        <f ca="1">OFFSET(Ground!$A$2,Volume!Q22+1,1)</f>
        <v>638.851436</v>
      </c>
      <c r="W22">
        <f t="shared" si="0"/>
        <v>27.878162260004462</v>
      </c>
      <c r="X22">
        <f>IF(Volume!W22&lt;'Temp Calcs'!$E$8,1,0)</f>
        <v>0</v>
      </c>
      <c r="Z22">
        <f t="shared" si="1"/>
        <v>-28.17166551679292</v>
      </c>
      <c r="AA22">
        <f>IF(Volume!Z22&gt;'Temp Calcs'!$L$8,1,0)</f>
        <v>0</v>
      </c>
    </row>
    <row r="23" spans="1:27" ht="12.75">
      <c r="A23" s="1">
        <v>22</v>
      </c>
      <c r="B23" s="1"/>
      <c r="C23" s="31">
        <f t="shared" si="2"/>
        <v>5017.260000000008</v>
      </c>
      <c r="D23" s="17">
        <f t="shared" si="3"/>
        <v>639.9501769578311</v>
      </c>
      <c r="E23" s="17">
        <f t="shared" si="4"/>
        <v>-2.3908132530120483</v>
      </c>
      <c r="F23" s="1"/>
      <c r="G23">
        <f t="shared" si="5"/>
        <v>638.883194518</v>
      </c>
      <c r="H23" s="8">
        <f t="shared" si="6"/>
        <v>1.066982439831122</v>
      </c>
      <c r="I23" s="30">
        <f>IF(H23&lt;1,(Data!$G$16+14+0.8*Data!$G$17+Data!$G$18*(1-H23))*(1-H23),(Data!$G$16+6+Data!$G$17*(H23-0.6))*(H23-0.6))</f>
        <v>8.344009433740464</v>
      </c>
      <c r="J23" s="28">
        <f t="shared" si="7"/>
        <v>275.3450256094556</v>
      </c>
      <c r="K23" t="str">
        <f t="shared" si="8"/>
        <v>Fill</v>
      </c>
      <c r="L23" s="28">
        <f t="shared" si="9"/>
        <v>0</v>
      </c>
      <c r="M23" s="28">
        <f t="shared" si="10"/>
        <v>275.3450256094556</v>
      </c>
      <c r="N23" s="28">
        <f>SUM($L$3:L23)</f>
        <v>0</v>
      </c>
      <c r="O23" s="28">
        <f>SUM($M$3:M23)</f>
        <v>71083.179136823</v>
      </c>
      <c r="Q23">
        <f>MATCH(C23,Ground!$A$3:$A$1999,1)</f>
        <v>34</v>
      </c>
      <c r="R23">
        <f ca="1">OFFSET(Ground!$A$2,Volume!Q23,0)</f>
        <v>4990</v>
      </c>
      <c r="S23">
        <f ca="1">OFFSET(Ground!$A$2,Volume!Q23,1)</f>
        <v>639.199157</v>
      </c>
      <c r="T23">
        <f ca="1">OFFSET(Ground!$A$2,Volume!Q23+1,0)</f>
        <v>5020</v>
      </c>
      <c r="U23">
        <f ca="1">OFFSET(Ground!$A$2,Volume!Q23+1,1)</f>
        <v>638.851436</v>
      </c>
      <c r="W23">
        <f t="shared" si="0"/>
        <v>27.679114412402335</v>
      </c>
      <c r="X23">
        <f>IF(Volume!W23&lt;'Temp Calcs'!$E$8,1,0)</f>
        <v>0</v>
      </c>
      <c r="Z23">
        <f t="shared" si="1"/>
        <v>-27.97680598573761</v>
      </c>
      <c r="AA23">
        <f>IF(Volume!Z23&gt;'Temp Calcs'!$L$8,1,0)</f>
        <v>0</v>
      </c>
    </row>
    <row r="24" spans="1:27" ht="12.75">
      <c r="A24" s="1">
        <v>23</v>
      </c>
      <c r="B24" s="1"/>
      <c r="C24" s="31">
        <f t="shared" si="2"/>
        <v>5041.320000000009</v>
      </c>
      <c r="D24" s="17">
        <f t="shared" si="3"/>
        <v>639.3749472891564</v>
      </c>
      <c r="E24" s="17">
        <f t="shared" si="4"/>
        <v>-2.3908132530120483</v>
      </c>
      <c r="F24" s="1"/>
      <c r="G24">
        <f t="shared" si="5"/>
        <v>638.6067435173333</v>
      </c>
      <c r="H24" s="8">
        <f t="shared" si="6"/>
        <v>0.7682037718230958</v>
      </c>
      <c r="I24" s="30">
        <f>IF(H24&lt;1,(Data!$G$16+14+0.8*Data!$G$17+Data!$G$18*(1-H24))*(1-H24),(Data!$G$16+6+Data!$G$17*(H24-0.6))*(H24-0.6))</f>
        <v>6.412316389205872</v>
      </c>
      <c r="J24" s="28">
        <f t="shared" si="7"/>
        <v>177.51859965004738</v>
      </c>
      <c r="K24" t="str">
        <f t="shared" si="8"/>
        <v>Fill</v>
      </c>
      <c r="L24" s="28">
        <f t="shared" si="9"/>
        <v>0</v>
      </c>
      <c r="M24" s="28">
        <f t="shared" si="10"/>
        <v>177.51859965004738</v>
      </c>
      <c r="N24" s="28">
        <f>SUM($L$3:L24)</f>
        <v>0</v>
      </c>
      <c r="O24" s="28">
        <f>SUM($M$3:M24)</f>
        <v>71260.69773647306</v>
      </c>
      <c r="Q24">
        <f>MATCH(C24,Ground!$A$3:$A$1999,1)</f>
        <v>35</v>
      </c>
      <c r="R24">
        <f ca="1">OFFSET(Ground!$A$2,Volume!Q24,0)</f>
        <v>5020</v>
      </c>
      <c r="S24">
        <f ca="1">OFFSET(Ground!$A$2,Volume!Q24,1)</f>
        <v>638.851436</v>
      </c>
      <c r="T24">
        <f ca="1">OFFSET(Ground!$A$2,Volume!Q24+1,0)</f>
        <v>5050</v>
      </c>
      <c r="U24">
        <f ca="1">OFFSET(Ground!$A$2,Volume!Q24+1,1)</f>
        <v>638.507122</v>
      </c>
      <c r="W24">
        <f t="shared" si="0"/>
        <v>27.474303465300245</v>
      </c>
      <c r="X24">
        <f>IF(Volume!W24&lt;'Temp Calcs'!$E$8,1,0)</f>
        <v>0</v>
      </c>
      <c r="Z24">
        <f t="shared" si="1"/>
        <v>-27.776304620924652</v>
      </c>
      <c r="AA24">
        <f>IF(Volume!Z24&gt;'Temp Calcs'!$L$8,1,0)</f>
        <v>0</v>
      </c>
    </row>
    <row r="25" spans="1:27" ht="12.75">
      <c r="A25" s="1">
        <v>24</v>
      </c>
      <c r="B25" s="1"/>
      <c r="C25" s="31">
        <f t="shared" si="2"/>
        <v>5065.380000000009</v>
      </c>
      <c r="D25" s="17">
        <f t="shared" si="3"/>
        <v>638.7997176204817</v>
      </c>
      <c r="E25" s="17">
        <f t="shared" si="4"/>
        <v>-2.3908132530120483</v>
      </c>
      <c r="F25" s="1"/>
      <c r="G25">
        <f t="shared" si="5"/>
        <v>638.3309569166665</v>
      </c>
      <c r="H25" s="8">
        <f t="shared" si="6"/>
        <v>0.4687607038151782</v>
      </c>
      <c r="I25" s="30">
        <f>IF(H25&lt;1,(Data!$G$16+14+0.8*Data!$G$17+Data!$G$18*(1-H25))*(1-H25),(Data!$G$16+6+Data!$G$17*(H25-0.6))*(H25-0.6))</f>
        <v>15.014139235849042</v>
      </c>
      <c r="J25" s="28">
        <f t="shared" si="7"/>
        <v>257.7602611694149</v>
      </c>
      <c r="K25" t="str">
        <f t="shared" si="8"/>
        <v>Cut</v>
      </c>
      <c r="L25" s="28">
        <f t="shared" si="9"/>
        <v>257.7602611694149</v>
      </c>
      <c r="M25" s="28">
        <f t="shared" si="10"/>
        <v>0</v>
      </c>
      <c r="N25" s="28">
        <f>SUM($L$3:L25)</f>
        <v>257.7602611694149</v>
      </c>
      <c r="O25" s="28">
        <f>SUM($M$3:M25)</f>
        <v>71260.69773647306</v>
      </c>
      <c r="Q25">
        <f>MATCH(C25,Ground!$A$3:$A$1999,1)</f>
        <v>36</v>
      </c>
      <c r="R25">
        <f ca="1">OFFSET(Ground!$A$2,Volume!Q25,0)</f>
        <v>5050</v>
      </c>
      <c r="S25">
        <f ca="1">OFFSET(Ground!$A$2,Volume!Q25,1)</f>
        <v>638.507122</v>
      </c>
      <c r="T25">
        <f ca="1">OFFSET(Ground!$A$2,Volume!Q25+1,0)</f>
        <v>5080</v>
      </c>
      <c r="U25">
        <f ca="1">OFFSET(Ground!$A$2,Volume!Q25+1,1)</f>
        <v>638.163497</v>
      </c>
      <c r="W25">
        <f t="shared" si="0"/>
        <v>27.263475450639817</v>
      </c>
      <c r="X25">
        <f>IF(Volume!W25&lt;'Temp Calcs'!$E$8,1,0)</f>
        <v>0</v>
      </c>
      <c r="Z25">
        <f t="shared" si="1"/>
        <v>-27.569912798229975</v>
      </c>
      <c r="AA25">
        <f>IF(Volume!Z25&gt;'Temp Calcs'!$L$8,1,0)</f>
        <v>0</v>
      </c>
    </row>
    <row r="26" spans="1:27" ht="12.75">
      <c r="A26" s="1">
        <v>25</v>
      </c>
      <c r="B26" s="1"/>
      <c r="C26" s="31">
        <f t="shared" si="2"/>
        <v>5089.44000000001</v>
      </c>
      <c r="D26" s="17">
        <f t="shared" si="3"/>
        <v>638.224487951807</v>
      </c>
      <c r="E26" s="17">
        <f t="shared" si="4"/>
        <v>-2.3908132530120483</v>
      </c>
      <c r="F26" s="1"/>
      <c r="G26">
        <f t="shared" si="5"/>
        <v>638.0568360133332</v>
      </c>
      <c r="H26" s="8">
        <f t="shared" si="6"/>
        <v>0.16765193847379578</v>
      </c>
      <c r="I26" s="30">
        <f>IF(H26&lt;1,(Data!$G$16+14+0.8*Data!$G$17+Data!$G$18*(1-H26))*(1-H26),(Data!$G$16+6+Data!$G$17*(H26-0.6))*(H26-0.6))</f>
        <v>24.025473864565615</v>
      </c>
      <c r="J26" s="28">
        <f t="shared" si="7"/>
        <v>469.6465455979961</v>
      </c>
      <c r="K26" t="str">
        <f t="shared" si="8"/>
        <v>Cut</v>
      </c>
      <c r="L26" s="28">
        <f t="shared" si="9"/>
        <v>469.6465455979961</v>
      </c>
      <c r="M26" s="28">
        <f t="shared" si="10"/>
        <v>0</v>
      </c>
      <c r="N26" s="28">
        <f>SUM($L$3:L26)</f>
        <v>727.406806767411</v>
      </c>
      <c r="O26" s="28">
        <f>SUM($M$3:M26)</f>
        <v>71260.69773647306</v>
      </c>
      <c r="Q26">
        <f>MATCH(C26,Ground!$A$3:$A$1999,1)</f>
        <v>37</v>
      </c>
      <c r="R26">
        <f ca="1">OFFSET(Ground!$A$2,Volume!Q26,0)</f>
        <v>5080</v>
      </c>
      <c r="S26">
        <f ca="1">OFFSET(Ground!$A$2,Volume!Q26,1)</f>
        <v>638.163497</v>
      </c>
      <c r="T26">
        <f ca="1">OFFSET(Ground!$A$2,Volume!Q26+1,0)</f>
        <v>5110</v>
      </c>
      <c r="U26">
        <f ca="1">OFFSET(Ground!$A$2,Volume!Q26+1,1)</f>
        <v>637.824532</v>
      </c>
      <c r="W26">
        <f t="shared" si="0"/>
        <v>27.046361255420482</v>
      </c>
      <c r="X26">
        <f>IF(Volume!W26&lt;'Temp Calcs'!$E$8,1,0)</f>
        <v>0</v>
      </c>
      <c r="Z26">
        <f t="shared" si="1"/>
        <v>-27.357367067263528</v>
      </c>
      <c r="AA26">
        <f>IF(Volume!Z26&gt;'Temp Calcs'!$L$8,1,0)</f>
        <v>0</v>
      </c>
    </row>
    <row r="27" spans="1:27" ht="12.75">
      <c r="A27" s="1">
        <v>26</v>
      </c>
      <c r="B27" s="1"/>
      <c r="C27" s="31">
        <f t="shared" si="2"/>
        <v>5113.50000000001</v>
      </c>
      <c r="D27" s="17">
        <f t="shared" si="3"/>
        <v>637.6492582831322</v>
      </c>
      <c r="E27" s="17">
        <f t="shared" si="4"/>
        <v>-2.3908132530120483</v>
      </c>
      <c r="F27" s="1"/>
      <c r="G27">
        <f t="shared" si="5"/>
        <v>637.7853778499999</v>
      </c>
      <c r="H27" s="8">
        <f t="shared" si="6"/>
        <v>-0.13611956686770554</v>
      </c>
      <c r="I27" s="30">
        <f>IF(H27&lt;1,(Data!$G$16+14+0.8*Data!$G$17+Data!$G$18*(1-H27))*(1-H27),(Data!$G$16+6+Data!$G$17*(H27-0.6))*(H27-0.6))</f>
        <v>33.483987559240916</v>
      </c>
      <c r="J27" s="28">
        <f t="shared" si="7"/>
        <v>691.8388209284041</v>
      </c>
      <c r="K27" t="str">
        <f t="shared" si="8"/>
        <v>Cut</v>
      </c>
      <c r="L27" s="28">
        <f t="shared" si="9"/>
        <v>691.8388209284041</v>
      </c>
      <c r="M27" s="28">
        <f t="shared" si="10"/>
        <v>0</v>
      </c>
      <c r="N27" s="28">
        <f>SUM($L$3:L27)</f>
        <v>1419.245627695815</v>
      </c>
      <c r="O27" s="28">
        <f>SUM($M$3:M27)</f>
        <v>71260.69773647306</v>
      </c>
      <c r="Q27">
        <f>MATCH(C27,Ground!$A$3:$A$1999,1)</f>
        <v>38</v>
      </c>
      <c r="R27">
        <f ca="1">OFFSET(Ground!$A$2,Volume!Q27,0)</f>
        <v>5110</v>
      </c>
      <c r="S27">
        <f ca="1">OFFSET(Ground!$A$2,Volume!Q27,1)</f>
        <v>637.824532</v>
      </c>
      <c r="T27">
        <f ca="1">OFFSET(Ground!$A$2,Volume!Q27+1,0)</f>
        <v>5140</v>
      </c>
      <c r="U27">
        <f ca="1">OFFSET(Ground!$A$2,Volume!Q27+1,1)</f>
        <v>637.488925</v>
      </c>
      <c r="W27">
        <f t="shared" si="0"/>
        <v>26.82267547568612</v>
      </c>
      <c r="X27">
        <f>IF(Volume!W27&lt;'Temp Calcs'!$E$8,1,0)</f>
        <v>0</v>
      </c>
      <c r="Z27">
        <f t="shared" si="1"/>
        <v>-27.13838802947003</v>
      </c>
      <c r="AA27">
        <f>IF(Volume!Z27&gt;'Temp Calcs'!$L$8,1,0)</f>
        <v>0</v>
      </c>
    </row>
    <row r="28" spans="1:27" ht="12.75">
      <c r="A28" s="1">
        <v>27</v>
      </c>
      <c r="B28" s="1"/>
      <c r="C28" s="31">
        <f t="shared" si="2"/>
        <v>5137.56000000001</v>
      </c>
      <c r="D28" s="17">
        <f t="shared" si="3"/>
        <v>637.0740286144576</v>
      </c>
      <c r="E28" s="17">
        <f t="shared" si="4"/>
        <v>-2.3908132530120483</v>
      </c>
      <c r="F28" s="1"/>
      <c r="G28">
        <f t="shared" si="5"/>
        <v>637.5162210359999</v>
      </c>
      <c r="H28" s="8">
        <f t="shared" si="6"/>
        <v>-0.4421924215423587</v>
      </c>
      <c r="I28" s="30">
        <f>IF(H28&lt;1,(Data!$G$16+14+0.8*Data!$G$17+Data!$G$18*(1-H28))*(1-H28),(Data!$G$16+6+Data!$G$17*(H28-0.6))*(H28-0.6))</f>
        <v>43.38747182746058</v>
      </c>
      <c r="J28" s="28">
        <f t="shared" si="7"/>
        <v>924.7636564220345</v>
      </c>
      <c r="K28" t="str">
        <f t="shared" si="8"/>
        <v>Cut</v>
      </c>
      <c r="L28" s="28">
        <f t="shared" si="9"/>
        <v>924.7636564220345</v>
      </c>
      <c r="M28" s="28">
        <f t="shared" si="10"/>
        <v>0</v>
      </c>
      <c r="N28" s="28">
        <f>SUM($L$3:L28)</f>
        <v>2344.0092841178493</v>
      </c>
      <c r="O28" s="28">
        <f>SUM($M$3:M28)</f>
        <v>71260.69773647306</v>
      </c>
      <c r="Q28">
        <f>MATCH(C28,Ground!$A$3:$A$1999,1)</f>
        <v>38</v>
      </c>
      <c r="R28">
        <f ca="1">OFFSET(Ground!$A$2,Volume!Q28,0)</f>
        <v>5110</v>
      </c>
      <c r="S28">
        <f ca="1">OFFSET(Ground!$A$2,Volume!Q28,1)</f>
        <v>637.824532</v>
      </c>
      <c r="T28">
        <f ca="1">OFFSET(Ground!$A$2,Volume!Q28+1,0)</f>
        <v>5140</v>
      </c>
      <c r="U28">
        <f ca="1">OFFSET(Ground!$A$2,Volume!Q28+1,1)</f>
        <v>637.488925</v>
      </c>
      <c r="W28">
        <f t="shared" si="0"/>
        <v>26.59211516485116</v>
      </c>
      <c r="X28">
        <f>IF(Volume!W28&lt;'Temp Calcs'!$E$8,1,0)</f>
        <v>0</v>
      </c>
      <c r="Z28">
        <f t="shared" si="1"/>
        <v>-26.912679112792507</v>
      </c>
      <c r="AA28">
        <f>IF(Volume!Z28&gt;'Temp Calcs'!$L$8,1,0)</f>
        <v>0</v>
      </c>
    </row>
    <row r="29" spans="1:27" ht="12.75">
      <c r="A29" s="1">
        <v>28</v>
      </c>
      <c r="B29" s="1"/>
      <c r="C29" s="31">
        <f t="shared" si="2"/>
        <v>5161.620000000011</v>
      </c>
      <c r="D29" s="17">
        <f t="shared" si="3"/>
        <v>636.4987989457828</v>
      </c>
      <c r="E29" s="17">
        <f t="shared" si="4"/>
        <v>-2.3908132530120483</v>
      </c>
      <c r="F29" s="1"/>
      <c r="G29">
        <f t="shared" si="5"/>
        <v>637.2563889279999</v>
      </c>
      <c r="H29" s="8">
        <f t="shared" si="6"/>
        <v>-0.7575899822170413</v>
      </c>
      <c r="I29" s="30">
        <f>IF(H29&lt;1,(Data!$G$16+14+0.8*Data!$G$17+Data!$G$18*(1-H29))*(1-H29),(Data!$G$16+6+Data!$G$17*(H29-0.6))*(H29-0.6))</f>
        <v>53.98469260748292</v>
      </c>
      <c r="J29" s="28">
        <f t="shared" si="7"/>
        <v>1171.3871381523898</v>
      </c>
      <c r="K29" t="str">
        <f t="shared" si="8"/>
        <v>Cut</v>
      </c>
      <c r="L29" s="28">
        <f t="shared" si="9"/>
        <v>1171.3871381523898</v>
      </c>
      <c r="M29" s="28">
        <f t="shared" si="10"/>
        <v>0</v>
      </c>
      <c r="N29" s="28">
        <f>SUM($L$3:L29)</f>
        <v>3515.396422270239</v>
      </c>
      <c r="O29" s="28">
        <f>SUM($M$3:M29)</f>
        <v>71260.69773647306</v>
      </c>
      <c r="Q29">
        <f>MATCH(C29,Ground!$A$3:$A$1999,1)</f>
        <v>39</v>
      </c>
      <c r="R29">
        <f ca="1">OFFSET(Ground!$A$2,Volume!Q29,0)</f>
        <v>5140</v>
      </c>
      <c r="S29">
        <f ca="1">OFFSET(Ground!$A$2,Volume!Q29,1)</f>
        <v>637.488925</v>
      </c>
      <c r="T29">
        <f ca="1">OFFSET(Ground!$A$2,Volume!Q29+1,0)</f>
        <v>5170</v>
      </c>
      <c r="U29">
        <f ca="1">OFFSET(Ground!$A$2,Volume!Q29+1,1)</f>
        <v>637.166257</v>
      </c>
      <c r="W29">
        <f t="shared" si="0"/>
        <v>26.354358464822685</v>
      </c>
      <c r="X29">
        <f>IF(Volume!W29&lt;'Temp Calcs'!$E$8,1,0)</f>
        <v>0</v>
      </c>
      <c r="Z29">
        <f t="shared" si="1"/>
        <v>-26.679925231598002</v>
      </c>
      <c r="AA29">
        <f>IF(Volume!Z29&gt;'Temp Calcs'!$L$8,1,0)</f>
        <v>0</v>
      </c>
    </row>
    <row r="30" spans="1:27" ht="12.75">
      <c r="A30" s="1">
        <v>29</v>
      </c>
      <c r="B30" s="1"/>
      <c r="C30" s="31">
        <f t="shared" si="2"/>
        <v>5185.680000000011</v>
      </c>
      <c r="D30" s="17">
        <f t="shared" si="3"/>
        <v>635.9235692771081</v>
      </c>
      <c r="E30" s="17">
        <f t="shared" si="4"/>
        <v>-2.3908132530120483</v>
      </c>
      <c r="F30" s="1"/>
      <c r="G30">
        <f t="shared" si="5"/>
        <v>637.0168475066665</v>
      </c>
      <c r="H30" s="8">
        <f t="shared" si="6"/>
        <v>-1.0932782295584502</v>
      </c>
      <c r="I30" s="30">
        <f>IF(H30&lt;1,(Data!$G$16+14+0.8*Data!$G$17+Data!$G$18*(1-H30))*(1-H30),(Data!$G$16+6+Data!$G$17*(H30-0.6))*(H30-0.6))</f>
        <v>65.70079533667656</v>
      </c>
      <c r="J30" s="28">
        <f t="shared" si="7"/>
        <v>1439.8164199682626</v>
      </c>
      <c r="K30" t="str">
        <f t="shared" si="8"/>
        <v>Cut</v>
      </c>
      <c r="L30" s="28">
        <f t="shared" si="9"/>
        <v>1439.8164199682626</v>
      </c>
      <c r="M30" s="28">
        <f t="shared" si="10"/>
        <v>0</v>
      </c>
      <c r="N30" s="28">
        <f>SUM($L$3:L30)</f>
        <v>4955.212842238501</v>
      </c>
      <c r="O30" s="28">
        <f>SUM($M$3:M30)</f>
        <v>71260.69773647306</v>
      </c>
      <c r="Q30">
        <f>MATCH(C30,Ground!$A$3:$A$1999,1)</f>
        <v>40</v>
      </c>
      <c r="R30">
        <f ca="1">OFFSET(Ground!$A$2,Volume!Q30,0)</f>
        <v>5170</v>
      </c>
      <c r="S30">
        <f ca="1">OFFSET(Ground!$A$2,Volume!Q30,1)</f>
        <v>637.166257</v>
      </c>
      <c r="T30">
        <f ca="1">OFFSET(Ground!$A$2,Volume!Q30+1,0)</f>
        <v>5200</v>
      </c>
      <c r="U30">
        <f ca="1">OFFSET(Ground!$A$2,Volume!Q30+1,1)</f>
        <v>636.880397</v>
      </c>
      <c r="W30">
        <f t="shared" si="0"/>
        <v>26.109063106910913</v>
      </c>
      <c r="X30">
        <f>IF(Volume!W30&lt;'Temp Calcs'!$E$8,1,0)</f>
        <v>0</v>
      </c>
      <c r="Z30">
        <f t="shared" si="1"/>
        <v>-26.43979131913151</v>
      </c>
      <c r="AA30">
        <f>IF(Volume!Z30&gt;'Temp Calcs'!$L$8,1,0)</f>
        <v>0</v>
      </c>
    </row>
    <row r="31" spans="1:27" ht="12.75">
      <c r="A31" s="1">
        <v>30</v>
      </c>
      <c r="B31" s="1"/>
      <c r="C31" s="31">
        <f t="shared" si="2"/>
        <v>5209.740000000012</v>
      </c>
      <c r="D31" s="17">
        <f t="shared" si="3"/>
        <v>635.3483396084334</v>
      </c>
      <c r="E31" s="17">
        <f t="shared" si="4"/>
        <v>-2.3908132530120483</v>
      </c>
      <c r="F31" s="1"/>
      <c r="G31">
        <f t="shared" si="5"/>
        <v>636.7688197806666</v>
      </c>
      <c r="H31" s="8">
        <f t="shared" si="6"/>
        <v>-1.4204801722331695</v>
      </c>
      <c r="I31" s="30">
        <f>IF(H31&lt;1,(Data!$G$16+14+0.8*Data!$G$17+Data!$G$18*(1-H31))*(1-H31),(Data!$G$16+6+Data!$G$17*(H31-0.6))*(H31-0.6))</f>
        <v>77.55450921309004</v>
      </c>
      <c r="J31" s="28">
        <f t="shared" si="7"/>
        <v>1723.3613137337209</v>
      </c>
      <c r="K31" t="str">
        <f t="shared" si="8"/>
        <v>Cut</v>
      </c>
      <c r="L31" s="28">
        <f t="shared" si="9"/>
        <v>1723.3613137337209</v>
      </c>
      <c r="M31" s="28">
        <f t="shared" si="10"/>
        <v>0</v>
      </c>
      <c r="N31" s="28">
        <f>SUM($L$3:L31)</f>
        <v>6678.574155972222</v>
      </c>
      <c r="O31" s="28">
        <f>SUM($M$3:M31)</f>
        <v>71260.69773647306</v>
      </c>
      <c r="Q31">
        <f>MATCH(C31,Ground!$A$3:$A$1999,1)</f>
        <v>41</v>
      </c>
      <c r="R31">
        <f ca="1">OFFSET(Ground!$A$2,Volume!Q31,0)</f>
        <v>5200</v>
      </c>
      <c r="S31">
        <f ca="1">OFFSET(Ground!$A$2,Volume!Q31,1)</f>
        <v>636.880397</v>
      </c>
      <c r="T31">
        <f ca="1">OFFSET(Ground!$A$2,Volume!Q31+1,0)</f>
        <v>5230</v>
      </c>
      <c r="U31">
        <f ca="1">OFFSET(Ground!$A$2,Volume!Q31+1,1)</f>
        <v>636.53673</v>
      </c>
      <c r="W31">
        <f t="shared" si="0"/>
        <v>25.855864767846402</v>
      </c>
      <c r="X31">
        <f>IF(Volume!W31&lt;'Temp Calcs'!$E$8,1,0)</f>
        <v>0</v>
      </c>
      <c r="Z31">
        <f t="shared" si="1"/>
        <v>-26.191920718125477</v>
      </c>
      <c r="AA31">
        <f>IF(Volume!Z31&gt;'Temp Calcs'!$L$8,1,0)</f>
        <v>0</v>
      </c>
    </row>
    <row r="32" spans="1:27" ht="12.75">
      <c r="A32" s="1">
        <v>31</v>
      </c>
      <c r="B32" s="1"/>
      <c r="C32" s="31">
        <f t="shared" si="2"/>
        <v>5233.800000000012</v>
      </c>
      <c r="D32" s="17">
        <f t="shared" si="3"/>
        <v>634.7731099397587</v>
      </c>
      <c r="E32" s="17">
        <f t="shared" si="4"/>
        <v>-2.3908132530120483</v>
      </c>
      <c r="F32" s="1"/>
      <c r="G32">
        <f t="shared" si="5"/>
        <v>636.4714662666665</v>
      </c>
      <c r="H32" s="8">
        <f t="shared" si="6"/>
        <v>-1.6983563269078559</v>
      </c>
      <c r="I32" s="30">
        <f>IF(H32&lt;1,(Data!$G$16+14+0.8*Data!$G$17+Data!$G$18*(1-H32))*(1-H32),(Data!$G$16+6+Data!$G$17*(H32-0.6))*(H32-0.6))</f>
        <v>87.957545825821</v>
      </c>
      <c r="J32" s="28">
        <f t="shared" si="7"/>
        <v>1991.1100221181332</v>
      </c>
      <c r="K32" t="str">
        <f t="shared" si="8"/>
        <v>Cut</v>
      </c>
      <c r="L32" s="28">
        <f t="shared" si="9"/>
        <v>1991.1100221181332</v>
      </c>
      <c r="M32" s="28">
        <f t="shared" si="10"/>
        <v>0</v>
      </c>
      <c r="N32" s="28">
        <f>SUM($L$3:L32)</f>
        <v>8669.684178090356</v>
      </c>
      <c r="O32" s="28">
        <f>SUM($M$3:M32)</f>
        <v>71260.69773647306</v>
      </c>
      <c r="Q32">
        <f>MATCH(C32,Ground!$A$3:$A$1999,1)</f>
        <v>42</v>
      </c>
      <c r="R32">
        <f ca="1">OFFSET(Ground!$A$2,Volume!Q32,0)</f>
        <v>5230</v>
      </c>
      <c r="S32">
        <f ca="1">OFFSET(Ground!$A$2,Volume!Q32,1)</f>
        <v>636.53673</v>
      </c>
      <c r="T32">
        <f ca="1">OFFSET(Ground!$A$2,Volume!Q32+1,0)</f>
        <v>5260</v>
      </c>
      <c r="U32">
        <f ca="1">OFFSET(Ground!$A$2,Volume!Q32+1,1)</f>
        <v>636.02149</v>
      </c>
      <c r="W32">
        <f t="shared" si="0"/>
        <v>25.59437526429703</v>
      </c>
      <c r="X32">
        <f>IF(Volume!W32&lt;'Temp Calcs'!$E$8,1,0)</f>
        <v>0</v>
      </c>
      <c r="Z32">
        <f t="shared" si="1"/>
        <v>-25.935933413307353</v>
      </c>
      <c r="AA32">
        <f>IF(Volume!Z32&gt;'Temp Calcs'!$L$8,1,0)</f>
        <v>0</v>
      </c>
    </row>
    <row r="33" spans="1:27" ht="12.75">
      <c r="A33" s="1">
        <v>32</v>
      </c>
      <c r="B33" s="1"/>
      <c r="C33" s="31">
        <f t="shared" si="2"/>
        <v>5257.860000000012</v>
      </c>
      <c r="D33" s="17">
        <f t="shared" si="3"/>
        <v>634.197880271084</v>
      </c>
      <c r="E33" s="17">
        <f t="shared" si="4"/>
        <v>-2.3908132530120483</v>
      </c>
      <c r="F33" s="1"/>
      <c r="G33">
        <f t="shared" si="5"/>
        <v>636.0582437866665</v>
      </c>
      <c r="H33" s="8">
        <f t="shared" si="6"/>
        <v>-1.860363515582435</v>
      </c>
      <c r="I33" s="30">
        <f>IF(H33&lt;1,(Data!$G$16+14+0.8*Data!$G$17+Data!$G$18*(1-H33))*(1-H33),(Data!$G$16+6+Data!$G$17*(H33-0.6))*(H33-0.6))</f>
        <v>94.16524650639245</v>
      </c>
      <c r="J33" s="28">
        <f t="shared" si="7"/>
        <v>2190.9371917565645</v>
      </c>
      <c r="K33" t="str">
        <f t="shared" si="8"/>
        <v>Cut</v>
      </c>
      <c r="L33" s="28">
        <f t="shared" si="9"/>
        <v>2190.9371917565645</v>
      </c>
      <c r="M33" s="28">
        <f t="shared" si="10"/>
        <v>0</v>
      </c>
      <c r="N33" s="28">
        <f>SUM($L$3:L33)</f>
        <v>10860.62136984692</v>
      </c>
      <c r="O33" s="28">
        <f>SUM($M$3:M33)</f>
        <v>71260.69773647306</v>
      </c>
      <c r="Q33">
        <f>MATCH(C33,Ground!$A$3:$A$1999,1)</f>
        <v>42</v>
      </c>
      <c r="R33">
        <f ca="1">OFFSET(Ground!$A$2,Volume!Q33,0)</f>
        <v>5230</v>
      </c>
      <c r="S33">
        <f ca="1">OFFSET(Ground!$A$2,Volume!Q33,1)</f>
        <v>636.53673</v>
      </c>
      <c r="T33">
        <f ca="1">OFFSET(Ground!$A$2,Volume!Q33+1,0)</f>
        <v>5260</v>
      </c>
      <c r="U33">
        <f ca="1">OFFSET(Ground!$A$2,Volume!Q33+1,1)</f>
        <v>636.02149</v>
      </c>
      <c r="W33">
        <f t="shared" si="0"/>
        <v>25.324180567066215</v>
      </c>
      <c r="X33">
        <f>IF(Volume!W33&lt;'Temp Calcs'!$E$8,1,0)</f>
        <v>0</v>
      </c>
      <c r="Z33">
        <f t="shared" si="1"/>
        <v>-25.6714240873825</v>
      </c>
      <c r="AA33">
        <f>IF(Volume!Z33&gt;'Temp Calcs'!$L$8,1,0)</f>
        <v>0</v>
      </c>
    </row>
    <row r="34" spans="1:27" ht="12.75">
      <c r="A34" s="1">
        <v>33</v>
      </c>
      <c r="B34" s="1"/>
      <c r="C34" s="31">
        <f t="shared" si="2"/>
        <v>5281.920000000013</v>
      </c>
      <c r="D34" s="17">
        <f t="shared" si="3"/>
        <v>633.6226506024093</v>
      </c>
      <c r="E34" s="17">
        <f t="shared" si="4"/>
        <v>-2.3908132530120483</v>
      </c>
      <c r="F34" s="1"/>
      <c r="G34">
        <f t="shared" si="5"/>
        <v>635.5951306559997</v>
      </c>
      <c r="H34" s="8">
        <f t="shared" si="6"/>
        <v>-1.9724800535904023</v>
      </c>
      <c r="I34" s="30">
        <f>IF(H34&lt;1,(Data!$G$16+14+0.8*Data!$G$17+Data!$G$18*(1-H34))*(1-H34),(Data!$G$16+6+Data!$G$17*(H34-0.6))*(H34-0.6))</f>
        <v>98.52273279564456</v>
      </c>
      <c r="J34" s="28">
        <f t="shared" si="7"/>
        <v>2318.036391003544</v>
      </c>
      <c r="K34" t="str">
        <f t="shared" si="8"/>
        <v>Cut</v>
      </c>
      <c r="L34" s="28">
        <f t="shared" si="9"/>
        <v>2318.036391003544</v>
      </c>
      <c r="M34" s="28">
        <f t="shared" si="10"/>
        <v>0</v>
      </c>
      <c r="N34" s="28">
        <f>SUM($L$3:L34)</f>
        <v>13178.657760850463</v>
      </c>
      <c r="O34" s="28">
        <f>SUM($M$3:M34)</f>
        <v>71260.69773647306</v>
      </c>
      <c r="Q34">
        <f>MATCH(C34,Ground!$A$3:$A$1999,1)</f>
        <v>43</v>
      </c>
      <c r="R34">
        <f ca="1">OFFSET(Ground!$A$2,Volume!Q34,0)</f>
        <v>5260</v>
      </c>
      <c r="S34">
        <f ca="1">OFFSET(Ground!$A$2,Volume!Q34,1)</f>
        <v>636.02149</v>
      </c>
      <c r="T34">
        <f ca="1">OFFSET(Ground!$A$2,Volume!Q34+1,0)</f>
        <v>5290</v>
      </c>
      <c r="U34">
        <f ca="1">OFFSET(Ground!$A$2,Volume!Q34+1,1)</f>
        <v>635.437969</v>
      </c>
      <c r="W34">
        <f t="shared" si="0"/>
        <v>25.04483861360852</v>
      </c>
      <c r="X34">
        <f>IF(Volume!W34&lt;'Temp Calcs'!$E$8,1,0)</f>
        <v>0</v>
      </c>
      <c r="Z34">
        <f t="shared" si="1"/>
        <v>-25.3979599795784</v>
      </c>
      <c r="AA34">
        <f>IF(Volume!Z34&gt;'Temp Calcs'!$L$8,1,0)</f>
        <v>0</v>
      </c>
    </row>
    <row r="35" spans="1:27" ht="12.75">
      <c r="A35" s="1">
        <v>34</v>
      </c>
      <c r="B35" s="1"/>
      <c r="C35" s="31">
        <f t="shared" si="2"/>
        <v>5305.980000000013</v>
      </c>
      <c r="D35" s="17">
        <f t="shared" si="3"/>
        <v>633.0474209337345</v>
      </c>
      <c r="E35" s="17">
        <f t="shared" si="4"/>
        <v>-2.3908132530120483</v>
      </c>
      <c r="F35" s="1"/>
      <c r="G35">
        <f t="shared" si="5"/>
        <v>635.0840173266663</v>
      </c>
      <c r="H35" s="8">
        <f t="shared" si="6"/>
        <v>-2.036596392931756</v>
      </c>
      <c r="I35" s="30">
        <f>IF(H35&lt;1,(Data!$G$16+14+0.8*Data!$G$17+Data!$G$18*(1-H35))*(1-H35),(Data!$G$16+6+Data!$G$17*(H35-0.6))*(H35-0.6))</f>
        <v>101.03725719487608</v>
      </c>
      <c r="J35" s="28">
        <f t="shared" si="7"/>
        <v>2400.7066795860032</v>
      </c>
      <c r="K35" t="str">
        <f t="shared" si="8"/>
        <v>Cut</v>
      </c>
      <c r="L35" s="28">
        <f t="shared" si="9"/>
        <v>2400.7066795860032</v>
      </c>
      <c r="M35" s="28">
        <f t="shared" si="10"/>
        <v>0</v>
      </c>
      <c r="N35" s="28">
        <f>SUM($L$3:L35)</f>
        <v>15579.364440436466</v>
      </c>
      <c r="O35" s="28">
        <f>SUM($M$3:M35)</f>
        <v>71260.69773647306</v>
      </c>
      <c r="Q35">
        <f>MATCH(C35,Ground!$A$3:$A$1999,1)</f>
        <v>44</v>
      </c>
      <c r="R35">
        <f ca="1">OFFSET(Ground!$A$2,Volume!Q35,0)</f>
        <v>5290</v>
      </c>
      <c r="S35">
        <f ca="1">OFFSET(Ground!$A$2,Volume!Q35,1)</f>
        <v>635.437969</v>
      </c>
      <c r="T35">
        <f ca="1">OFFSET(Ground!$A$2,Volume!Q35+1,0)</f>
        <v>5320</v>
      </c>
      <c r="U35">
        <f ca="1">OFFSET(Ground!$A$2,Volume!Q35+1,1)</f>
        <v>634.773479</v>
      </c>
      <c r="W35">
        <f t="shared" si="0"/>
        <v>24.75587689455125</v>
      </c>
      <c r="X35">
        <f>IF(Volume!W35&lt;'Temp Calcs'!$E$8,1,0)</f>
        <v>0</v>
      </c>
      <c r="Z35">
        <f t="shared" si="1"/>
        <v>-25.11507852295</v>
      </c>
      <c r="AA35">
        <f>IF(Volume!Z35&gt;'Temp Calcs'!$L$8,1,0)</f>
        <v>0</v>
      </c>
    </row>
    <row r="36" spans="1:27" ht="12.75">
      <c r="A36" s="1">
        <v>35</v>
      </c>
      <c r="B36" s="1"/>
      <c r="C36" s="31">
        <f t="shared" si="2"/>
        <v>5330.040000000014</v>
      </c>
      <c r="D36" s="17">
        <f t="shared" si="3"/>
        <v>632.4721912650599</v>
      </c>
      <c r="E36" s="17">
        <f t="shared" si="4"/>
        <v>-2.3908132530120483</v>
      </c>
      <c r="F36" s="1"/>
      <c r="G36">
        <f t="shared" si="5"/>
        <v>634.520619257333</v>
      </c>
      <c r="H36" s="8">
        <f t="shared" si="6"/>
        <v>-2.048427992273105</v>
      </c>
      <c r="I36" s="30">
        <f>IF(H36&lt;1,(Data!$G$16+14+0.8*Data!$G$17+Data!$G$18*(1-H36))*(1-H36),(Data!$G$16+6+Data!$G$17*(H36-0.6))*(H36-0.6))</f>
        <v>101.50306783797693</v>
      </c>
      <c r="J36" s="28">
        <f t="shared" si="7"/>
        <v>2436.560110145262</v>
      </c>
      <c r="K36" t="str">
        <f t="shared" si="8"/>
        <v>Cut</v>
      </c>
      <c r="L36" s="28">
        <f t="shared" si="9"/>
        <v>2436.560110145262</v>
      </c>
      <c r="M36" s="28">
        <f t="shared" si="10"/>
        <v>0</v>
      </c>
      <c r="N36" s="28">
        <f>SUM($L$3:L36)</f>
        <v>18015.924550581727</v>
      </c>
      <c r="O36" s="28">
        <f>SUM($M$3:M36)</f>
        <v>71260.69773647306</v>
      </c>
      <c r="Q36">
        <f>MATCH(C36,Ground!$A$3:$A$1999,1)</f>
        <v>45</v>
      </c>
      <c r="R36">
        <f ca="1">OFFSET(Ground!$A$2,Volume!Q36,0)</f>
        <v>5320</v>
      </c>
      <c r="S36">
        <f ca="1">OFFSET(Ground!$A$2,Volume!Q36,1)</f>
        <v>634.773479</v>
      </c>
      <c r="T36">
        <f ca="1">OFFSET(Ground!$A$2,Volume!Q36+1,0)</f>
        <v>5350</v>
      </c>
      <c r="U36">
        <f ca="1">OFFSET(Ground!$A$2,Volume!Q36+1,1)</f>
        <v>634.017922</v>
      </c>
      <c r="W36">
        <f t="shared" si="0"/>
        <v>24.456789786507755</v>
      </c>
      <c r="X36">
        <f>IF(Volume!W36&lt;'Temp Calcs'!$E$8,1,0)</f>
        <v>0</v>
      </c>
      <c r="Z36">
        <f t="shared" si="1"/>
        <v>-24.822284733315357</v>
      </c>
      <c r="AA36">
        <f>IF(Volume!Z36&gt;'Temp Calcs'!$L$8,1,0)</f>
        <v>0</v>
      </c>
    </row>
    <row r="37" spans="1:27" ht="12.75">
      <c r="A37" s="1">
        <v>36</v>
      </c>
      <c r="B37" s="1"/>
      <c r="C37" s="31">
        <f t="shared" si="2"/>
        <v>5354.100000000014</v>
      </c>
      <c r="D37" s="17">
        <f t="shared" si="3"/>
        <v>631.8969615963852</v>
      </c>
      <c r="E37" s="17">
        <f t="shared" si="4"/>
        <v>-2.3908132530120483</v>
      </c>
      <c r="F37" s="1"/>
      <c r="G37">
        <f t="shared" si="5"/>
        <v>633.902230113333</v>
      </c>
      <c r="H37" s="8">
        <f t="shared" si="6"/>
        <v>-2.005268516947808</v>
      </c>
      <c r="I37" s="30">
        <f>IF(H37&lt;1,(Data!$G$16+14+0.8*Data!$G$17+Data!$G$18*(1-H37))*(1-H37),(Data!$G$16+6+Data!$G$17*(H37-0.6))*(H37-0.6))</f>
        <v>99.80658137889574</v>
      </c>
      <c r="J37" s="28">
        <f t="shared" si="7"/>
        <v>2421.7550800790186</v>
      </c>
      <c r="K37" t="str">
        <f t="shared" si="8"/>
        <v>Cut</v>
      </c>
      <c r="L37" s="28">
        <f t="shared" si="9"/>
        <v>2421.7550800790186</v>
      </c>
      <c r="M37" s="28">
        <f t="shared" si="10"/>
        <v>0</v>
      </c>
      <c r="N37" s="28">
        <f>SUM($L$3:L37)</f>
        <v>20437.679630660747</v>
      </c>
      <c r="O37" s="28">
        <f>SUM($M$3:M37)</f>
        <v>71260.69773647306</v>
      </c>
      <c r="Q37">
        <f>MATCH(C37,Ground!$A$3:$A$1999,1)</f>
        <v>46</v>
      </c>
      <c r="R37">
        <f ca="1">OFFSET(Ground!$A$2,Volume!Q37,0)</f>
        <v>5350</v>
      </c>
      <c r="S37">
        <f ca="1">OFFSET(Ground!$A$2,Volume!Q37,1)</f>
        <v>634.017922</v>
      </c>
      <c r="T37">
        <f ca="1">OFFSET(Ground!$A$2,Volume!Q37+1,0)</f>
        <v>5380</v>
      </c>
      <c r="U37">
        <f ca="1">OFFSET(Ground!$A$2,Volume!Q37+1,1)</f>
        <v>633.171396</v>
      </c>
      <c r="W37">
        <f t="shared" si="0"/>
        <v>24.147035599511447</v>
      </c>
      <c r="X37">
        <f>IF(Volume!W37&lt;'Temp Calcs'!$E$8,1,0)</f>
        <v>0</v>
      </c>
      <c r="Z37">
        <f t="shared" si="1"/>
        <v>-24.51904831881681</v>
      </c>
      <c r="AA37">
        <f>IF(Volume!Z37&gt;'Temp Calcs'!$L$8,1,0)</f>
        <v>0</v>
      </c>
    </row>
    <row r="38" spans="1:27" ht="12.75">
      <c r="A38" s="1">
        <v>37</v>
      </c>
      <c r="B38" s="1"/>
      <c r="C38" s="31">
        <f t="shared" si="2"/>
        <v>5378.160000000014</v>
      </c>
      <c r="D38" s="17">
        <f t="shared" si="3"/>
        <v>631.3217319277105</v>
      </c>
      <c r="E38" s="17">
        <f t="shared" si="4"/>
        <v>-2.3908132530120483</v>
      </c>
      <c r="F38" s="1"/>
      <c r="G38">
        <f t="shared" si="5"/>
        <v>633.2233162613329</v>
      </c>
      <c r="H38" s="8">
        <f t="shared" si="6"/>
        <v>-1.9015843336223952</v>
      </c>
      <c r="I38" s="30">
        <f>IF(H38&lt;1,(Data!$G$16+14+0.8*Data!$G$17+Data!$G$18*(1-H38))*(1-H38),(Data!$G$16+6+Data!$G$17*(H38-0.6))*(H38-0.6))</f>
        <v>95.761477164775</v>
      </c>
      <c r="J38" s="28">
        <f t="shared" si="7"/>
        <v>2352.6837442803985</v>
      </c>
      <c r="K38" t="str">
        <f t="shared" si="8"/>
        <v>Cut</v>
      </c>
      <c r="L38" s="28">
        <f t="shared" si="9"/>
        <v>2352.6837442803985</v>
      </c>
      <c r="M38" s="28">
        <f t="shared" si="10"/>
        <v>0</v>
      </c>
      <c r="N38" s="28">
        <f>SUM($L$3:L38)</f>
        <v>22790.363374941146</v>
      </c>
      <c r="O38" s="28">
        <f>SUM($M$3:M38)</f>
        <v>71260.69773647306</v>
      </c>
      <c r="Q38">
        <f>MATCH(C38,Ground!$A$3:$A$1999,1)</f>
        <v>46</v>
      </c>
      <c r="R38">
        <f ca="1">OFFSET(Ground!$A$2,Volume!Q38,0)</f>
        <v>5350</v>
      </c>
      <c r="S38">
        <f ca="1">OFFSET(Ground!$A$2,Volume!Q38,1)</f>
        <v>634.017922</v>
      </c>
      <c r="T38">
        <f ca="1">OFFSET(Ground!$A$2,Volume!Q38+1,0)</f>
        <v>5380</v>
      </c>
      <c r="U38">
        <f ca="1">OFFSET(Ground!$A$2,Volume!Q38+1,1)</f>
        <v>633.171396</v>
      </c>
      <c r="W38">
        <f t="shared" si="0"/>
        <v>23.82603330279914</v>
      </c>
      <c r="X38">
        <f>IF(Volume!W38&lt;'Temp Calcs'!$E$8,1,0)</f>
        <v>0</v>
      </c>
      <c r="Z38">
        <f t="shared" si="1"/>
        <v>-24.204800474599622</v>
      </c>
      <c r="AA38">
        <f>IF(Volume!Z38&gt;'Temp Calcs'!$L$8,1,0)</f>
        <v>0</v>
      </c>
    </row>
    <row r="39" spans="1:27" ht="12.75">
      <c r="A39" s="1">
        <v>38</v>
      </c>
      <c r="B39" s="1"/>
      <c r="C39" s="31">
        <f t="shared" si="2"/>
        <v>5402.220000000015</v>
      </c>
      <c r="D39" s="17">
        <f t="shared" si="3"/>
        <v>630.7465022590358</v>
      </c>
      <c r="E39" s="17">
        <f t="shared" si="4"/>
        <v>-2.3908132530120483</v>
      </c>
      <c r="F39" s="1"/>
      <c r="G39">
        <f t="shared" si="5"/>
        <v>632.4862667419995</v>
      </c>
      <c r="H39" s="8">
        <f t="shared" si="6"/>
        <v>-1.7397644829637784</v>
      </c>
      <c r="I39" s="30">
        <f>IF(H39&lt;1,(Data!$G$16+14+0.8*Data!$G$17+Data!$G$18*(1-H39))*(1-H39),(Data!$G$16+6+Data!$G$17*(H39-0.6))*(H39-0.6))</f>
        <v>89.53421278083434</v>
      </c>
      <c r="J39" s="28">
        <f t="shared" si="7"/>
        <v>2229.1071500457174</v>
      </c>
      <c r="K39" t="str">
        <f t="shared" si="8"/>
        <v>Cut</v>
      </c>
      <c r="L39" s="28">
        <f t="shared" si="9"/>
        <v>2229.1071500457174</v>
      </c>
      <c r="M39" s="28">
        <f t="shared" si="10"/>
        <v>0</v>
      </c>
      <c r="N39" s="28">
        <f>SUM($L$3:L39)</f>
        <v>25019.470524986864</v>
      </c>
      <c r="O39" s="28">
        <f>SUM($M$3:M39)</f>
        <v>71260.69773647306</v>
      </c>
      <c r="Q39">
        <f>MATCH(C39,Ground!$A$3:$A$1999,1)</f>
        <v>47</v>
      </c>
      <c r="R39">
        <f ca="1">OFFSET(Ground!$A$2,Volume!Q39,0)</f>
        <v>5380</v>
      </c>
      <c r="S39">
        <f ca="1">OFFSET(Ground!$A$2,Volume!Q39,1)</f>
        <v>633.171396</v>
      </c>
      <c r="T39">
        <f ca="1">OFFSET(Ground!$A$2,Volume!Q39+1,0)</f>
        <v>5410</v>
      </c>
      <c r="U39">
        <f ca="1">OFFSET(Ground!$A$2,Volume!Q39+1,1)</f>
        <v>632.246379</v>
      </c>
      <c r="W39">
        <f t="shared" si="0"/>
        <v>23.493158887309693</v>
      </c>
      <c r="X39">
        <f>IF(Volume!W39&lt;'Temp Calcs'!$E$8,1,0)</f>
        <v>0</v>
      </c>
      <c r="Z39">
        <f t="shared" si="1"/>
        <v>-23.878930321850014</v>
      </c>
      <c r="AA39">
        <f>IF(Volume!Z39&gt;'Temp Calcs'!$L$8,1,0)</f>
        <v>0</v>
      </c>
    </row>
    <row r="40" spans="1:27" ht="12.75">
      <c r="A40" s="1">
        <v>39</v>
      </c>
      <c r="B40" s="1"/>
      <c r="C40" s="31">
        <f t="shared" si="2"/>
        <v>5426.280000000015</v>
      </c>
      <c r="D40" s="17">
        <f t="shared" si="3"/>
        <v>630.171272590361</v>
      </c>
      <c r="E40" s="17">
        <f t="shared" si="4"/>
        <v>-2.3908132530120483</v>
      </c>
      <c r="F40" s="1"/>
      <c r="G40">
        <f t="shared" si="5"/>
        <v>631.7140892053328</v>
      </c>
      <c r="H40" s="8">
        <f t="shared" si="6"/>
        <v>-1.5428166149717981</v>
      </c>
      <c r="I40" s="30">
        <f>IF(H40&lt;1,(Data!$G$16+14+0.8*Data!$G$17+Data!$G$18*(1-H40))*(1-H40),(Data!$G$16+6+Data!$G$17*(H40-0.6))*(H40-0.6))</f>
        <v>82.09644460198618</v>
      </c>
      <c r="J40" s="28">
        <f t="shared" si="7"/>
        <v>2064.716808315365</v>
      </c>
      <c r="K40" t="str">
        <f t="shared" si="8"/>
        <v>Cut</v>
      </c>
      <c r="L40" s="28">
        <f t="shared" si="9"/>
        <v>2064.716808315365</v>
      </c>
      <c r="M40" s="28">
        <f t="shared" si="10"/>
        <v>0</v>
      </c>
      <c r="N40" s="28">
        <f>SUM($L$3:L40)</f>
        <v>27084.18733330223</v>
      </c>
      <c r="O40" s="28">
        <f>SUM($M$3:M40)</f>
        <v>71260.69773647306</v>
      </c>
      <c r="Q40">
        <f>MATCH(C40,Ground!$A$3:$A$1999,1)</f>
        <v>48</v>
      </c>
      <c r="R40">
        <f ca="1">OFFSET(Ground!$A$2,Volume!Q40,0)</f>
        <v>5410</v>
      </c>
      <c r="S40">
        <f ca="1">OFFSET(Ground!$A$2,Volume!Q40,1)</f>
        <v>632.246379</v>
      </c>
      <c r="T40">
        <f ca="1">OFFSET(Ground!$A$2,Volume!Q40+1,0)</f>
        <v>5440</v>
      </c>
      <c r="U40">
        <f ca="1">OFFSET(Ground!$A$2,Volume!Q40+1,1)</f>
        <v>631.265501</v>
      </c>
      <c r="W40">
        <f t="shared" si="0"/>
        <v>23.147741316983474</v>
      </c>
      <c r="X40">
        <f>IF(Volume!W40&lt;'Temp Calcs'!$E$8,1,0)</f>
        <v>0</v>
      </c>
      <c r="Z40">
        <f t="shared" si="1"/>
        <v>-23.540780944286414</v>
      </c>
      <c r="AA40">
        <f>IF(Volume!Z40&gt;'Temp Calcs'!$L$8,1,0)</f>
        <v>0</v>
      </c>
    </row>
    <row r="41" spans="1:27" ht="12.75">
      <c r="A41" s="1">
        <v>40</v>
      </c>
      <c r="B41" s="1"/>
      <c r="C41" s="31">
        <f t="shared" si="2"/>
        <v>5450.340000000016</v>
      </c>
      <c r="D41" s="17">
        <f t="shared" si="3"/>
        <v>629.5960429216864</v>
      </c>
      <c r="E41" s="17">
        <f t="shared" si="4"/>
        <v>-2.3908132530120483</v>
      </c>
      <c r="F41" s="1"/>
      <c r="G41">
        <f t="shared" si="5"/>
        <v>630.9188535339995</v>
      </c>
      <c r="H41" s="8">
        <f t="shared" si="6"/>
        <v>-1.3228106123131056</v>
      </c>
      <c r="I41" s="30">
        <f>IF(H41&lt;1,(Data!$G$16+14+0.8*Data!$G$17+Data!$G$18*(1-H41))*(1-H41),(Data!$G$16+6+Data!$G$17*(H41-0.6))*(H41-0.6))</f>
        <v>73.97134693626523</v>
      </c>
      <c r="J41" s="28">
        <f t="shared" si="7"/>
        <v>1877.4955322051958</v>
      </c>
      <c r="K41" t="str">
        <f t="shared" si="8"/>
        <v>Cut</v>
      </c>
      <c r="L41" s="28">
        <f t="shared" si="9"/>
        <v>1877.4955322051958</v>
      </c>
      <c r="M41" s="28">
        <f t="shared" si="10"/>
        <v>0</v>
      </c>
      <c r="N41" s="28">
        <f>SUM($L$3:L41)</f>
        <v>28961.682865507428</v>
      </c>
      <c r="O41" s="28">
        <f>SUM($M$3:M41)</f>
        <v>71260.69773647306</v>
      </c>
      <c r="Q41">
        <f>MATCH(C41,Ground!$A$3:$A$1999,1)</f>
        <v>49</v>
      </c>
      <c r="R41">
        <f ca="1">OFFSET(Ground!$A$2,Volume!Q41,0)</f>
        <v>5440</v>
      </c>
      <c r="S41">
        <f ca="1">OFFSET(Ground!$A$2,Volume!Q41,1)</f>
        <v>631.265501</v>
      </c>
      <c r="T41">
        <f ca="1">OFFSET(Ground!$A$2,Volume!Q41+1,0)</f>
        <v>5470</v>
      </c>
      <c r="U41">
        <f ca="1">OFFSET(Ground!$A$2,Volume!Q41+1,1)</f>
        <v>630.259754</v>
      </c>
      <c r="W41">
        <f t="shared" si="0"/>
        <v>22.78905801359272</v>
      </c>
      <c r="X41">
        <f>IF(Volume!W41&lt;'Temp Calcs'!$E$8,1,0)</f>
        <v>0</v>
      </c>
      <c r="Z41">
        <f t="shared" si="1"/>
        <v>-23.189644967996923</v>
      </c>
      <c r="AA41">
        <f>IF(Volume!Z41&gt;'Temp Calcs'!$L$8,1,0)</f>
        <v>0</v>
      </c>
    </row>
    <row r="42" spans="1:27" ht="12.75">
      <c r="A42" s="1">
        <v>41</v>
      </c>
      <c r="B42" s="1"/>
      <c r="C42" s="31">
        <f t="shared" si="2"/>
        <v>5474.400000000016</v>
      </c>
      <c r="D42" s="17">
        <f t="shared" si="3"/>
        <v>629.0208132530116</v>
      </c>
      <c r="E42" s="17">
        <f t="shared" si="4"/>
        <v>-2.3908132530120483</v>
      </c>
      <c r="F42" s="1"/>
      <c r="G42">
        <f t="shared" si="5"/>
        <v>630.1082625866661</v>
      </c>
      <c r="H42" s="8">
        <f t="shared" si="6"/>
        <v>-1.0874493336544901</v>
      </c>
      <c r="I42" s="30">
        <f>IF(H42&lt;1,(Data!$G$16+14+0.8*Data!$G$17+Data!$G$18*(1-H42))*(1-H42),(Data!$G$16+6+Data!$G$17*(H42-0.6))*(H42-0.6))</f>
        <v>65.49351131655128</v>
      </c>
      <c r="J42" s="28">
        <f t="shared" si="7"/>
        <v>1677.7622447814103</v>
      </c>
      <c r="K42" t="str">
        <f t="shared" si="8"/>
        <v>Cut</v>
      </c>
      <c r="L42" s="28">
        <f t="shared" si="9"/>
        <v>1677.7622447814103</v>
      </c>
      <c r="M42" s="28">
        <f t="shared" si="10"/>
        <v>0</v>
      </c>
      <c r="N42" s="28">
        <f>SUM($L$3:L42)</f>
        <v>30639.445110288838</v>
      </c>
      <c r="O42" s="28">
        <f>SUM($M$3:M42)</f>
        <v>71260.69773647306</v>
      </c>
      <c r="Q42">
        <f>MATCH(C42,Ground!$A$3:$A$1999,1)</f>
        <v>50</v>
      </c>
      <c r="R42">
        <f ca="1">OFFSET(Ground!$A$2,Volume!Q42,0)</f>
        <v>5470</v>
      </c>
      <c r="S42">
        <f ca="1">OFFSET(Ground!$A$2,Volume!Q42,1)</f>
        <v>630.259754</v>
      </c>
      <c r="T42">
        <f ca="1">OFFSET(Ground!$A$2,Volume!Q42+1,0)</f>
        <v>5500</v>
      </c>
      <c r="U42">
        <f ca="1">OFFSET(Ground!$A$2,Volume!Q42+1,1)</f>
        <v>629.226858</v>
      </c>
      <c r="W42">
        <f t="shared" si="0"/>
        <v>22.41632981117275</v>
      </c>
      <c r="X42">
        <f>IF(Volume!W42&lt;'Temp Calcs'!$E$8,1,0)</f>
        <v>0</v>
      </c>
      <c r="Z42">
        <f t="shared" si="1"/>
        <v>-22.82475962203818</v>
      </c>
      <c r="AA42">
        <f>IF(Volume!Z42&gt;'Temp Calcs'!$L$8,1,0)</f>
        <v>0</v>
      </c>
    </row>
    <row r="43" spans="1:27" ht="12.75">
      <c r="A43" s="1">
        <v>42</v>
      </c>
      <c r="B43" s="1"/>
      <c r="C43" s="31">
        <f t="shared" si="2"/>
        <v>5498.460000000016</v>
      </c>
      <c r="D43" s="17">
        <f t="shared" si="3"/>
        <v>628.4455835843369</v>
      </c>
      <c r="E43" s="17">
        <f t="shared" si="4"/>
        <v>-2.3908132530120483</v>
      </c>
      <c r="F43" s="1"/>
      <c r="G43">
        <f t="shared" si="5"/>
        <v>629.2798799946661</v>
      </c>
      <c r="H43" s="8">
        <f t="shared" si="6"/>
        <v>-0.8342964103292161</v>
      </c>
      <c r="I43" s="30">
        <f>IF(H43&lt;1,(Data!$G$16+14+0.8*Data!$G$17+Data!$G$18*(1-H43))*(1-H43),(Data!$G$16+6+Data!$G$17*(H43-0.6))*(H43-0.6))</f>
        <v>56.62214900284797</v>
      </c>
      <c r="J43" s="28">
        <f t="shared" si="7"/>
        <v>1469.0513936423972</v>
      </c>
      <c r="K43" t="str">
        <f t="shared" si="8"/>
        <v>Cut</v>
      </c>
      <c r="L43" s="28">
        <f t="shared" si="9"/>
        <v>1469.0513936423972</v>
      </c>
      <c r="M43" s="28">
        <f t="shared" si="10"/>
        <v>0</v>
      </c>
      <c r="N43" s="28">
        <f>SUM($L$3:L43)</f>
        <v>32108.496503931234</v>
      </c>
      <c r="O43" s="28">
        <f>SUM($M$3:M43)</f>
        <v>71260.69773647306</v>
      </c>
      <c r="Q43">
        <f>MATCH(C43,Ground!$A$3:$A$1999,1)</f>
        <v>50</v>
      </c>
      <c r="R43">
        <f ca="1">OFFSET(Ground!$A$2,Volume!Q43,0)</f>
        <v>5470</v>
      </c>
      <c r="S43">
        <f ca="1">OFFSET(Ground!$A$2,Volume!Q43,1)</f>
        <v>630.259754</v>
      </c>
      <c r="T43">
        <f ca="1">OFFSET(Ground!$A$2,Volume!Q43+1,0)</f>
        <v>5500</v>
      </c>
      <c r="U43">
        <f ca="1">OFFSET(Ground!$A$2,Volume!Q43+1,1)</f>
        <v>629.226858</v>
      </c>
      <c r="W43">
        <f t="shared" si="0"/>
        <v>22.02871530591111</v>
      </c>
      <c r="X43">
        <f>IF(Volume!W43&lt;'Temp Calcs'!$E$8,1,0)</f>
        <v>0</v>
      </c>
      <c r="Z43">
        <f t="shared" si="1"/>
        <v>-22.445301207212726</v>
      </c>
      <c r="AA43">
        <f>IF(Volume!Z43&gt;'Temp Calcs'!$L$8,1,0)</f>
        <v>0</v>
      </c>
    </row>
    <row r="44" spans="1:27" ht="12.75">
      <c r="A44" s="1">
        <v>43</v>
      </c>
      <c r="B44" s="1"/>
      <c r="C44" s="31">
        <f t="shared" si="2"/>
        <v>5522.520000000017</v>
      </c>
      <c r="D44" s="17">
        <f t="shared" si="3"/>
        <v>627.8703539156622</v>
      </c>
      <c r="E44" s="17">
        <f t="shared" si="4"/>
        <v>-2.3908132530120483</v>
      </c>
      <c r="F44" s="1"/>
      <c r="G44">
        <f t="shared" si="5"/>
        <v>628.4449035466661</v>
      </c>
      <c r="H44" s="8">
        <f t="shared" si="6"/>
        <v>-0.5745496310038334</v>
      </c>
      <c r="I44" s="30">
        <f>IF(H44&lt;1,(Data!$G$16+14+0.8*Data!$G$17+Data!$G$18*(1-H44))*(1-H44),(Data!$G$16+6+Data!$G$17*(H44-0.6))*(H44-0.6))</f>
        <v>47.786163044292884</v>
      </c>
      <c r="J44" s="28">
        <f t="shared" si="7"/>
        <v>1256.0319939271253</v>
      </c>
      <c r="K44" t="str">
        <f t="shared" si="8"/>
        <v>Cut</v>
      </c>
      <c r="L44" s="28">
        <f t="shared" si="9"/>
        <v>1256.0319939271253</v>
      </c>
      <c r="M44" s="28">
        <f t="shared" si="10"/>
        <v>0</v>
      </c>
      <c r="N44" s="28">
        <f>SUM($L$3:L44)</f>
        <v>33364.52849785836</v>
      </c>
      <c r="O44" s="28">
        <f>SUM($M$3:M44)</f>
        <v>71260.69773647306</v>
      </c>
      <c r="Q44">
        <f>MATCH(C44,Ground!$A$3:$A$1999,1)</f>
        <v>51</v>
      </c>
      <c r="R44">
        <f ca="1">OFFSET(Ground!$A$2,Volume!Q44,0)</f>
        <v>5500</v>
      </c>
      <c r="S44">
        <f ca="1">OFFSET(Ground!$A$2,Volume!Q44,1)</f>
        <v>629.226858</v>
      </c>
      <c r="T44">
        <f ca="1">OFFSET(Ground!$A$2,Volume!Q44+1,0)</f>
        <v>5530</v>
      </c>
      <c r="U44">
        <f ca="1">OFFSET(Ground!$A$2,Volume!Q44+1,1)</f>
        <v>628.185178</v>
      </c>
      <c r="W44">
        <f t="shared" si="0"/>
        <v>21.62530451526796</v>
      </c>
      <c r="X44">
        <f>IF(Volume!W44&lt;'Temp Calcs'!$E$8,1,0)</f>
        <v>0</v>
      </c>
      <c r="Z44">
        <f t="shared" si="1"/>
        <v>-22.050378888612688</v>
      </c>
      <c r="AA44">
        <f>IF(Volume!Z44&gt;'Temp Calcs'!$L$8,1,0)</f>
        <v>0</v>
      </c>
    </row>
    <row r="45" spans="1:27" ht="12.75">
      <c r="A45" s="1">
        <v>44</v>
      </c>
      <c r="B45" s="1"/>
      <c r="C45" s="31">
        <f t="shared" si="2"/>
        <v>5546.580000000017</v>
      </c>
      <c r="D45" s="17">
        <f t="shared" si="3"/>
        <v>627.2951242469875</v>
      </c>
      <c r="E45" s="17">
        <f t="shared" si="4"/>
        <v>-2.3908132530120483</v>
      </c>
      <c r="F45" s="1"/>
      <c r="G45">
        <f t="shared" si="5"/>
        <v>627.6826956773328</v>
      </c>
      <c r="H45" s="8">
        <f t="shared" si="6"/>
        <v>-0.38757143034536057</v>
      </c>
      <c r="I45" s="30">
        <f>IF(H45&lt;1,(Data!$G$16+14+0.8*Data!$G$17+Data!$G$18*(1-H45))*(1-H45),(Data!$G$16+6+Data!$G$17*(H45-0.6))*(H45-0.6))</f>
        <v>41.592651854015145</v>
      </c>
      <c r="J45" s="28">
        <f t="shared" si="7"/>
        <v>1075.2271432266637</v>
      </c>
      <c r="K45" t="str">
        <f t="shared" si="8"/>
        <v>Cut</v>
      </c>
      <c r="L45" s="28">
        <f t="shared" si="9"/>
        <v>1075.2271432266637</v>
      </c>
      <c r="M45" s="28">
        <f t="shared" si="10"/>
        <v>0</v>
      </c>
      <c r="N45" s="28">
        <f>SUM($L$3:L45)</f>
        <v>34439.75564108502</v>
      </c>
      <c r="O45" s="28">
        <f>SUM($M$3:M45)</f>
        <v>71260.69773647306</v>
      </c>
      <c r="Q45">
        <f>MATCH(C45,Ground!$A$3:$A$1999,1)</f>
        <v>52</v>
      </c>
      <c r="R45">
        <f ca="1">OFFSET(Ground!$A$2,Volume!Q45,0)</f>
        <v>5530</v>
      </c>
      <c r="S45">
        <f ca="1">OFFSET(Ground!$A$2,Volume!Q45,1)</f>
        <v>628.185178</v>
      </c>
      <c r="T45">
        <f ca="1">OFFSET(Ground!$A$2,Volume!Q45+1,0)</f>
        <v>5560</v>
      </c>
      <c r="U45">
        <f ca="1">OFFSET(Ground!$A$2,Volume!Q45+1,1)</f>
        <v>627.275982</v>
      </c>
      <c r="W45">
        <f t="shared" si="0"/>
        <v>21.20511174575046</v>
      </c>
      <c r="X45">
        <f>IF(Volume!W45&lt;'Temp Calcs'!$E$8,1,0)</f>
        <v>0</v>
      </c>
      <c r="Z45">
        <f t="shared" si="1"/>
        <v>-21.63902771346871</v>
      </c>
      <c r="AA45">
        <f>IF(Volume!Z45&gt;'Temp Calcs'!$L$8,1,0)</f>
        <v>0</v>
      </c>
    </row>
    <row r="46" spans="1:27" ht="12.75">
      <c r="A46" s="1">
        <v>45</v>
      </c>
      <c r="B46" s="1"/>
      <c r="C46" s="31">
        <f t="shared" si="2"/>
        <v>5570.640000000018</v>
      </c>
      <c r="D46" s="17">
        <f t="shared" si="3"/>
        <v>626.7198945783128</v>
      </c>
      <c r="E46" s="17">
        <f t="shared" si="4"/>
        <v>-2.3908132530120483</v>
      </c>
      <c r="F46" s="1"/>
      <c r="G46">
        <f t="shared" si="5"/>
        <v>626.9486555226662</v>
      </c>
      <c r="H46" s="8">
        <f t="shared" si="6"/>
        <v>-0.2287609443533256</v>
      </c>
      <c r="I46" s="30">
        <f>IF(H46&lt;1,(Data!$G$16+14+0.8*Data!$G$17+Data!$G$18*(1-H46))*(1-H46),(Data!$G$16+6+Data!$G$17*(H46-0.6))*(H46-0.6))</f>
        <v>36.44200460314661</v>
      </c>
      <c r="J46" s="28">
        <f t="shared" si="7"/>
        <v>938.7569171796716</v>
      </c>
      <c r="K46" t="str">
        <f t="shared" si="8"/>
        <v>Cut</v>
      </c>
      <c r="L46" s="28">
        <f t="shared" si="9"/>
        <v>938.7569171796716</v>
      </c>
      <c r="M46" s="28">
        <f t="shared" si="10"/>
        <v>0</v>
      </c>
      <c r="N46" s="28">
        <f>SUM($L$3:L46)</f>
        <v>35378.512558264694</v>
      </c>
      <c r="O46" s="28">
        <f>SUM($M$3:M46)</f>
        <v>71260.69773647306</v>
      </c>
      <c r="Q46">
        <f>MATCH(C46,Ground!$A$3:$A$1999,1)</f>
        <v>53</v>
      </c>
      <c r="R46">
        <f ca="1">OFFSET(Ground!$A$2,Volume!Q46,0)</f>
        <v>5560</v>
      </c>
      <c r="S46">
        <f ca="1">OFFSET(Ground!$A$2,Volume!Q46,1)</f>
        <v>627.275982</v>
      </c>
      <c r="T46">
        <f ca="1">OFFSET(Ground!$A$2,Volume!Q46+1,0)</f>
        <v>5590</v>
      </c>
      <c r="U46">
        <f ca="1">OFFSET(Ground!$A$2,Volume!Q46+1,1)</f>
        <v>626.353069</v>
      </c>
      <c r="W46">
        <f t="shared" si="0"/>
        <v>20.767067551672113</v>
      </c>
      <c r="X46">
        <f>IF(Volume!W46&lt;'Temp Calcs'!$E$8,1,0)</f>
        <v>0</v>
      </c>
      <c r="Z46">
        <f t="shared" si="1"/>
        <v>-21.21020073911112</v>
      </c>
      <c r="AA46">
        <f>IF(Volume!Z46&gt;'Temp Calcs'!$L$8,1,0)</f>
        <v>0</v>
      </c>
    </row>
    <row r="47" spans="1:27" ht="12.75">
      <c r="A47" s="1">
        <v>46</v>
      </c>
      <c r="B47" s="1"/>
      <c r="C47" s="31">
        <f t="shared" si="2"/>
        <v>5594.700000000018</v>
      </c>
      <c r="D47" s="17">
        <f t="shared" si="3"/>
        <v>626.1446649096381</v>
      </c>
      <c r="E47" s="17">
        <f t="shared" si="4"/>
        <v>-2.3908132530120483</v>
      </c>
      <c r="F47" s="1"/>
      <c r="G47">
        <f t="shared" si="5"/>
        <v>626.2394906799996</v>
      </c>
      <c r="H47" s="8">
        <f t="shared" si="6"/>
        <v>-0.09482577036146722</v>
      </c>
      <c r="I47" s="30">
        <f>IF(H47&lt;1,(Data!$G$16+14+0.8*Data!$G$17+Data!$G$18*(1-H47))*(1-H47),(Data!$G$16+6+Data!$G$17*(H47-0.6))*(H47-0.6))</f>
        <v>32.176547888727065</v>
      </c>
      <c r="J47" s="28">
        <f t="shared" si="7"/>
        <v>825.481186477254</v>
      </c>
      <c r="K47" t="str">
        <f t="shared" si="8"/>
        <v>Cut</v>
      </c>
      <c r="L47" s="28">
        <f t="shared" si="9"/>
        <v>825.481186477254</v>
      </c>
      <c r="M47" s="28">
        <f t="shared" si="10"/>
        <v>0</v>
      </c>
      <c r="N47" s="28">
        <f>SUM($L$3:L47)</f>
        <v>36203.99374474195</v>
      </c>
      <c r="O47" s="28">
        <f>SUM($M$3:M47)</f>
        <v>71260.69773647306</v>
      </c>
      <c r="Q47">
        <f>MATCH(C47,Ground!$A$3:$A$1999,1)</f>
        <v>54</v>
      </c>
      <c r="R47">
        <f ca="1">OFFSET(Ground!$A$2,Volume!Q47,0)</f>
        <v>5590</v>
      </c>
      <c r="S47">
        <f ca="1">OFFSET(Ground!$A$2,Volume!Q47,1)</f>
        <v>626.353069</v>
      </c>
      <c r="T47">
        <f ca="1">OFFSET(Ground!$A$2,Volume!Q47+1,0)</f>
        <v>5620</v>
      </c>
      <c r="U47">
        <f ca="1">OFFSET(Ground!$A$2,Volume!Q47+1,1)</f>
        <v>625.628101</v>
      </c>
      <c r="W47">
        <f t="shared" si="0"/>
        <v>20.31000964680116</v>
      </c>
      <c r="X47">
        <f>IF(Volume!W47&lt;'Temp Calcs'!$E$8,1,0)</f>
        <v>0</v>
      </c>
      <c r="Z47">
        <f t="shared" si="1"/>
        <v>-20.762760135853235</v>
      </c>
      <c r="AA47">
        <f>IF(Volume!Z47&gt;'Temp Calcs'!$L$8,1,0)</f>
        <v>0</v>
      </c>
    </row>
    <row r="48" spans="1:27" ht="12.75">
      <c r="A48" s="1">
        <v>47</v>
      </c>
      <c r="B48" s="1"/>
      <c r="C48" s="31">
        <f t="shared" si="2"/>
        <v>5618.760000000018</v>
      </c>
      <c r="D48" s="17">
        <f t="shared" si="3"/>
        <v>625.5694352409633</v>
      </c>
      <c r="E48" s="17">
        <f t="shared" si="4"/>
        <v>-2.3908132530120483</v>
      </c>
      <c r="F48" s="1"/>
      <c r="G48">
        <f t="shared" si="5"/>
        <v>625.6580663439996</v>
      </c>
      <c r="H48" s="8">
        <f t="shared" si="6"/>
        <v>-0.08863110303627764</v>
      </c>
      <c r="I48" s="30">
        <f>IF(H48&lt;1,(Data!$G$16+14+0.8*Data!$G$17+Data!$G$18*(1-H48))*(1-H48),(Data!$G$16+6+Data!$G$17*(H48-0.6))*(H48-0.6))</f>
        <v>31.981001359582717</v>
      </c>
      <c r="J48" s="28">
        <f t="shared" si="7"/>
        <v>771.8153174571795</v>
      </c>
      <c r="K48" t="str">
        <f t="shared" si="8"/>
        <v>Cut</v>
      </c>
      <c r="L48" s="28">
        <f t="shared" si="9"/>
        <v>771.8153174571795</v>
      </c>
      <c r="M48" s="28">
        <f t="shared" si="10"/>
        <v>0</v>
      </c>
      <c r="N48" s="28">
        <f>SUM($L$3:L48)</f>
        <v>36975.80906219913</v>
      </c>
      <c r="O48" s="28">
        <f>SUM($M$3:M48)</f>
        <v>71260.69773647306</v>
      </c>
      <c r="Q48">
        <f>MATCH(C48,Ground!$A$3:$A$1999,1)</f>
        <v>54</v>
      </c>
      <c r="R48">
        <f ca="1">OFFSET(Ground!$A$2,Volume!Q48,0)</f>
        <v>5590</v>
      </c>
      <c r="S48">
        <f ca="1">OFFSET(Ground!$A$2,Volume!Q48,1)</f>
        <v>626.353069</v>
      </c>
      <c r="T48">
        <f ca="1">OFFSET(Ground!$A$2,Volume!Q48+1,0)</f>
        <v>5620</v>
      </c>
      <c r="U48">
        <f ca="1">OFFSET(Ground!$A$2,Volume!Q48+1,1)</f>
        <v>625.628101</v>
      </c>
      <c r="W48">
        <f t="shared" si="0"/>
        <v>19.83267260628835</v>
      </c>
      <c r="X48">
        <f>IF(Volume!W48&lt;'Temp Calcs'!$E$8,1,0)</f>
        <v>0</v>
      </c>
      <c r="Z48">
        <f t="shared" si="1"/>
        <v>-20.29546710560866</v>
      </c>
      <c r="AA48">
        <f>IF(Volume!Z48&gt;'Temp Calcs'!$L$8,1,0)</f>
        <v>0</v>
      </c>
    </row>
    <row r="49" spans="1:27" ht="12.75">
      <c r="A49" s="1">
        <v>48</v>
      </c>
      <c r="B49" s="1"/>
      <c r="C49" s="31">
        <f t="shared" si="2"/>
        <v>5642.820000000019</v>
      </c>
      <c r="D49" s="17">
        <f t="shared" si="3"/>
        <v>624.9942055722887</v>
      </c>
      <c r="E49" s="17">
        <f t="shared" si="4"/>
        <v>-2.3908132530120483</v>
      </c>
      <c r="F49" s="1"/>
      <c r="G49">
        <f t="shared" si="5"/>
        <v>625.1246788686663</v>
      </c>
      <c r="H49" s="8">
        <f t="shared" si="6"/>
        <v>-0.130473296377545</v>
      </c>
      <c r="I49" s="30">
        <f>IF(H49&lt;1,(Data!$G$16+14+0.8*Data!$G$17+Data!$G$18*(1-H49))*(1-H49),(Data!$G$16+6+Data!$G$17*(H49-0.6))*(H49-0.6))</f>
        <v>33.30481340911465</v>
      </c>
      <c r="J49" s="28">
        <f t="shared" si="7"/>
        <v>785.3883516674423</v>
      </c>
      <c r="K49" t="str">
        <f t="shared" si="8"/>
        <v>Cut</v>
      </c>
      <c r="L49" s="28">
        <f t="shared" si="9"/>
        <v>785.3883516674423</v>
      </c>
      <c r="M49" s="28">
        <f t="shared" si="10"/>
        <v>0</v>
      </c>
      <c r="N49" s="28">
        <f>SUM($L$3:L49)</f>
        <v>37761.19741386657</v>
      </c>
      <c r="O49" s="28">
        <f>SUM($M$3:M49)</f>
        <v>71260.69773647306</v>
      </c>
      <c r="Q49">
        <f>MATCH(C49,Ground!$A$3:$A$1999,1)</f>
        <v>55</v>
      </c>
      <c r="R49">
        <f ca="1">OFFSET(Ground!$A$2,Volume!Q49,0)</f>
        <v>5620</v>
      </c>
      <c r="S49">
        <f ca="1">OFFSET(Ground!$A$2,Volume!Q49,1)</f>
        <v>625.628101</v>
      </c>
      <c r="T49">
        <f ca="1">OFFSET(Ground!$A$2,Volume!Q49+1,0)</f>
        <v>5650</v>
      </c>
      <c r="U49">
        <f ca="1">OFFSET(Ground!$A$2,Volume!Q49+1,1)</f>
        <v>624.966284</v>
      </c>
      <c r="W49">
        <f t="shared" si="0"/>
        <v>19.333676166755637</v>
      </c>
      <c r="X49">
        <f>IF(Volume!W49&lt;'Temp Calcs'!$E$8,1,0)</f>
        <v>0</v>
      </c>
      <c r="Z49">
        <f t="shared" si="1"/>
        <v>-19.806970428166675</v>
      </c>
      <c r="AA49">
        <f>IF(Volume!Z49&gt;'Temp Calcs'!$L$8,1,0)</f>
        <v>0</v>
      </c>
    </row>
    <row r="50" spans="1:27" ht="12.75">
      <c r="A50" s="1">
        <v>49</v>
      </c>
      <c r="B50" s="1"/>
      <c r="C50" s="31">
        <f t="shared" si="2"/>
        <v>5666.880000000019</v>
      </c>
      <c r="D50" s="17">
        <f t="shared" si="3"/>
        <v>624.418975903614</v>
      </c>
      <c r="E50" s="17">
        <f t="shared" si="4"/>
        <v>-2.3908132530120483</v>
      </c>
      <c r="F50" s="1"/>
      <c r="G50">
        <f t="shared" si="5"/>
        <v>624.6032419013329</v>
      </c>
      <c r="H50" s="8">
        <f t="shared" si="6"/>
        <v>-0.1842659977189669</v>
      </c>
      <c r="I50" s="30">
        <f>IF(H50&lt;1,(Data!$G$16+14+0.8*Data!$G$17+Data!$G$18*(1-H50))*(1-H50),(Data!$G$16+6+Data!$G$17*(H50-0.6))*(H50-0.6))</f>
        <v>35.0170070446625</v>
      </c>
      <c r="J50" s="28">
        <f t="shared" si="7"/>
        <v>821.9115000589528</v>
      </c>
      <c r="K50" t="str">
        <f t="shared" si="8"/>
        <v>Cut</v>
      </c>
      <c r="L50" s="28">
        <f t="shared" si="9"/>
        <v>821.9115000589528</v>
      </c>
      <c r="M50" s="28">
        <f t="shared" si="10"/>
        <v>0</v>
      </c>
      <c r="N50" s="28">
        <f>SUM($L$3:L50)</f>
        <v>38583.10891392552</v>
      </c>
      <c r="O50" s="28">
        <f>SUM($M$3:M50)</f>
        <v>71260.69773647306</v>
      </c>
      <c r="Q50">
        <f>MATCH(C50,Ground!$A$3:$A$1999,1)</f>
        <v>56</v>
      </c>
      <c r="R50">
        <f ca="1">OFFSET(Ground!$A$2,Volume!Q50,0)</f>
        <v>5650</v>
      </c>
      <c r="S50">
        <f ca="1">OFFSET(Ground!$A$2,Volume!Q50,1)</f>
        <v>624.966284</v>
      </c>
      <c r="T50">
        <f ca="1">OFFSET(Ground!$A$2,Volume!Q50+1,0)</f>
        <v>5680</v>
      </c>
      <c r="U50">
        <f ca="1">OFFSET(Ground!$A$2,Volume!Q50+1,1)</f>
        <v>624.321067</v>
      </c>
      <c r="W50">
        <f t="shared" si="0"/>
        <v>18.811511896744562</v>
      </c>
      <c r="X50">
        <f>IF(Volume!W50&lt;'Temp Calcs'!$E$8,1,0)</f>
        <v>0</v>
      </c>
      <c r="Z50">
        <f t="shared" si="1"/>
        <v>-19.295793412117835</v>
      </c>
      <c r="AA50">
        <f>IF(Volume!Z50&gt;'Temp Calcs'!$L$8,1,0)</f>
        <v>0</v>
      </c>
    </row>
    <row r="51" spans="1:27" ht="12.75">
      <c r="A51" s="1">
        <v>50</v>
      </c>
      <c r="B51" s="1"/>
      <c r="C51" s="31">
        <f t="shared" si="2"/>
        <v>5690.94000000002</v>
      </c>
      <c r="D51" s="17">
        <f t="shared" si="3"/>
        <v>623.8437462349392</v>
      </c>
      <c r="E51" s="17">
        <f t="shared" si="4"/>
        <v>-2.3908132530120483</v>
      </c>
      <c r="F51" s="1"/>
      <c r="G51">
        <f t="shared" si="5"/>
        <v>624.1057426379996</v>
      </c>
      <c r="H51" s="8">
        <f t="shared" si="6"/>
        <v>-0.26199640306037963</v>
      </c>
      <c r="I51" s="30">
        <f>IF(H51&lt;1,(Data!$G$16+14+0.8*Data!$G$17+Data!$G$18*(1-H51))*(1-H51),(Data!$G$16+6+Data!$G$17*(H51-0.6))*(H51-0.6))</f>
        <v>37.511572005916996</v>
      </c>
      <c r="J51" s="28">
        <f t="shared" si="7"/>
        <v>872.5188059784858</v>
      </c>
      <c r="K51" t="str">
        <f t="shared" si="8"/>
        <v>Cut</v>
      </c>
      <c r="L51" s="28">
        <f t="shared" si="9"/>
        <v>872.5188059784858</v>
      </c>
      <c r="M51" s="28">
        <f t="shared" si="10"/>
        <v>0</v>
      </c>
      <c r="N51" s="28">
        <f>SUM($L$3:L51)</f>
        <v>39455.627719904005</v>
      </c>
      <c r="O51" s="28">
        <f>SUM($M$3:M51)</f>
        <v>71260.69773647306</v>
      </c>
      <c r="Q51">
        <f>MATCH(C51,Ground!$A$3:$A$1999,1)</f>
        <v>57</v>
      </c>
      <c r="R51">
        <f ca="1">OFFSET(Ground!$A$2,Volume!Q51,0)</f>
        <v>5680</v>
      </c>
      <c r="S51">
        <f ca="1">OFFSET(Ground!$A$2,Volume!Q51,1)</f>
        <v>624.321067</v>
      </c>
      <c r="T51">
        <f ca="1">OFFSET(Ground!$A$2,Volume!Q51+1,0)</f>
        <v>5710</v>
      </c>
      <c r="U51">
        <f ca="1">OFFSET(Ground!$A$2,Volume!Q51+1,1)</f>
        <v>623.730598</v>
      </c>
      <c r="W51">
        <f t="shared" si="0"/>
        <v>18.26452796641176</v>
      </c>
      <c r="X51">
        <f>IF(Volume!W51&lt;'Temp Calcs'!$E$8,1,0)</f>
        <v>0</v>
      </c>
      <c r="Z51">
        <f t="shared" si="1"/>
        <v>-18.760318985021822</v>
      </c>
      <c r="AA51">
        <f>IF(Volume!Z51&gt;'Temp Calcs'!$L$8,1,0)</f>
        <v>0</v>
      </c>
    </row>
    <row r="52" spans="1:29" ht="12.75">
      <c r="A52" s="1">
        <v>51</v>
      </c>
      <c r="B52" s="1" t="s">
        <v>17</v>
      </c>
      <c r="C52" s="5">
        <f>Data!C4-Data!F4/2</f>
        <v>5715</v>
      </c>
      <c r="D52" s="6">
        <f>Data!D3+Data!E3/100*(Volume!C52-Data!C3)</f>
        <v>623.268516566265</v>
      </c>
      <c r="E52" s="5">
        <f>Data!E3</f>
        <v>-2.3908132530120483</v>
      </c>
      <c r="F52" s="5"/>
      <c r="G52">
        <f t="shared" si="5"/>
        <v>623.6457475</v>
      </c>
      <c r="H52" s="8">
        <f t="shared" si="6"/>
        <v>-0.37723093373494976</v>
      </c>
      <c r="I52" s="30">
        <f>IF(H52&lt;1,(Data!$G$16+14+0.8*Data!$G$17+Data!$G$18*(1-H52))*(1-H52),(Data!$G$16+6+Data!$G$17*(H52-0.6))*(H52-0.6))</f>
        <v>41.25421148726352</v>
      </c>
      <c r="J52" s="28">
        <f t="shared" si="7"/>
        <v>947.5523754221895</v>
      </c>
      <c r="K52" t="str">
        <f t="shared" si="8"/>
        <v>Cut</v>
      </c>
      <c r="L52" s="28">
        <f t="shared" si="9"/>
        <v>947.5523754221895</v>
      </c>
      <c r="M52" s="28">
        <f t="shared" si="10"/>
        <v>0</v>
      </c>
      <c r="N52" s="28">
        <f>SUM($L$3:L52)</f>
        <v>40403.18009532619</v>
      </c>
      <c r="O52" s="28">
        <f>SUM($M$3:M52)</f>
        <v>71260.69773647306</v>
      </c>
      <c r="Q52">
        <f>MATCH(C52,Ground!$A$3:$A$1999,1)</f>
        <v>58</v>
      </c>
      <c r="R52">
        <f ca="1">OFFSET(Ground!$A$2,Volume!Q52,0)</f>
        <v>5710</v>
      </c>
      <c r="S52">
        <f ca="1">OFFSET(Ground!$A$2,Volume!Q52,1)</f>
        <v>623.730598</v>
      </c>
      <c r="T52">
        <f ca="1">OFFSET(Ground!$A$2,Volume!Q52+1,0)</f>
        <v>5740</v>
      </c>
      <c r="U52">
        <f ca="1">OFFSET(Ground!$A$2,Volume!Q52+1,1)</f>
        <v>623.221495</v>
      </c>
      <c r="V52" s="26"/>
      <c r="W52">
        <f t="shared" si="0"/>
        <v>17.69091169256061</v>
      </c>
      <c r="X52">
        <f>IF(Volume!W52&lt;'Temp Calcs'!$E$8,1,0)</f>
        <v>0</v>
      </c>
      <c r="Z52">
        <f t="shared" si="1"/>
        <v>-18.198772605722326</v>
      </c>
      <c r="AA52">
        <f>IF(Volume!Z52&gt;'Temp Calcs'!$L$8,1,0)</f>
        <v>0</v>
      </c>
      <c r="AB52" s="6"/>
      <c r="AC52" s="5"/>
    </row>
    <row r="53" spans="1:29" ht="12.75">
      <c r="A53" s="1">
        <v>52</v>
      </c>
      <c r="C53" s="7">
        <f>C52+($C$102-$C$52)/50</f>
        <v>5720</v>
      </c>
      <c r="D53" s="8">
        <f aca="true" t="shared" si="11" ref="D53:D101">D$52+($E$102-$E$52)/100*(C53-$C$52)^2/2/($C$102-$C$52)+$E$52/100*(C53-$C$52)</f>
        <v>623.1475712575816</v>
      </c>
      <c r="E53" s="7">
        <f aca="true" t="shared" si="12" ref="E53:E101">$E$52+($E$102-$E$52)*(C53-$C$52)/($C$102-$C$52)</f>
        <v>-2.4469990943235818</v>
      </c>
      <c r="F53" s="7"/>
      <c r="G53">
        <f t="shared" si="5"/>
        <v>623.560897</v>
      </c>
      <c r="H53" s="8">
        <f t="shared" si="6"/>
        <v>-0.4133257424183512</v>
      </c>
      <c r="I53" s="30">
        <f>IF(H53&lt;1,(Data!$G$16+14+0.8*Data!$G$17+Data!$G$18*(1-H53))*(1-H53),(Data!$G$16+6+Data!$G$17*(H53-0.6))*(H53-0.6))</f>
        <v>42.43743950214392</v>
      </c>
      <c r="J53" s="28">
        <f t="shared" si="7"/>
        <v>209.2291274735186</v>
      </c>
      <c r="K53" t="str">
        <f t="shared" si="8"/>
        <v>Cut</v>
      </c>
      <c r="L53" s="28">
        <f t="shared" si="9"/>
        <v>209.2291274735186</v>
      </c>
      <c r="M53" s="28">
        <f t="shared" si="10"/>
        <v>0</v>
      </c>
      <c r="N53" s="28">
        <f>SUM($L$3:L53)</f>
        <v>40612.40922279971</v>
      </c>
      <c r="O53" s="28">
        <f>SUM($M$3:M53)</f>
        <v>71260.69773647306</v>
      </c>
      <c r="Q53">
        <f>MATCH(C53,Ground!$A$3:$A$1999,1)</f>
        <v>58</v>
      </c>
      <c r="R53">
        <f ca="1">OFFSET(Ground!$A$2,Volume!Q53,0)</f>
        <v>5710</v>
      </c>
      <c r="S53">
        <f ca="1">OFFSET(Ground!$A$2,Volume!Q53,1)</f>
        <v>623.730598</v>
      </c>
      <c r="T53">
        <f ca="1">OFFSET(Ground!$A$2,Volume!Q53+1,0)</f>
        <v>5740</v>
      </c>
      <c r="U53">
        <f ca="1">OFFSET(Ground!$A$2,Volume!Q53+1,1)</f>
        <v>623.221495</v>
      </c>
      <c r="V53" s="26"/>
      <c r="W53">
        <f t="shared" si="0"/>
        <v>17.5692331408672</v>
      </c>
      <c r="X53">
        <f>IF(Volume!W53&lt;'Temp Calcs'!$E$8,1,0)</f>
        <v>0</v>
      </c>
      <c r="Z53">
        <f t="shared" si="1"/>
        <v>-18.07970697368095</v>
      </c>
      <c r="AA53">
        <f>IF(Volume!Z53&gt;'Temp Calcs'!$L$8,1,0)</f>
        <v>0</v>
      </c>
      <c r="AB53" s="8"/>
      <c r="AC53" s="7"/>
    </row>
    <row r="54" spans="1:29" ht="12.75">
      <c r="A54" s="1">
        <v>53</v>
      </c>
      <c r="C54" s="7">
        <f aca="true" t="shared" si="13" ref="C54:C101">C53+($C$102-$C$52)/50</f>
        <v>5725</v>
      </c>
      <c r="D54" s="8">
        <f t="shared" si="11"/>
        <v>623.0238166568327</v>
      </c>
      <c r="E54" s="7">
        <f t="shared" si="12"/>
        <v>-2.5031849356351157</v>
      </c>
      <c r="F54" s="7"/>
      <c r="G54">
        <f aca="true" t="shared" si="14" ref="G54:G71">S54+(U54-S54)*(C54-R54)/(T54-R54)</f>
        <v>623.4760464999999</v>
      </c>
      <c r="H54" s="8">
        <f aca="true" t="shared" si="15" ref="H54:H71">D54-G54</f>
        <v>-0.452229843167288</v>
      </c>
      <c r="I54" s="30">
        <f>IF(H54&lt;1,(Data!$G$16+14+0.8*Data!$G$17+Data!$G$18*(1-H54))*(1-H54),(Data!$G$16+6+Data!$G$17*(H54-0.6))*(H54-0.6))</f>
        <v>43.718594768921605</v>
      </c>
      <c r="J54" s="28">
        <f aca="true" t="shared" si="16" ref="J54:J163">(I54+I53)/2*(C54-C53)</f>
        <v>215.39008567766382</v>
      </c>
      <c r="K54" t="str">
        <f aca="true" t="shared" si="17" ref="K54:K71">IF(H54&lt;0.5,"Cut","Fill")</f>
        <v>Cut</v>
      </c>
      <c r="L54" s="28">
        <f aca="true" t="shared" si="18" ref="L54:L71">IF(K54="Cut",J54,0)</f>
        <v>215.39008567766382</v>
      </c>
      <c r="M54" s="28">
        <f aca="true" t="shared" si="19" ref="M54:M71">IF(K54="Fill",J54,0)</f>
        <v>0</v>
      </c>
      <c r="N54" s="28">
        <f>SUM($L$3:L54)</f>
        <v>40827.79930847738</v>
      </c>
      <c r="O54" s="28">
        <f>SUM($M$3:M54)</f>
        <v>71260.69773647306</v>
      </c>
      <c r="Q54">
        <f>MATCH(C54,Ground!$A$3:$A$1999,1)</f>
        <v>58</v>
      </c>
      <c r="R54">
        <f ca="1">OFFSET(Ground!$A$2,Volume!Q54,0)</f>
        <v>5710</v>
      </c>
      <c r="S54">
        <f ca="1">OFFSET(Ground!$A$2,Volume!Q54,1)</f>
        <v>623.730598</v>
      </c>
      <c r="T54">
        <f ca="1">OFFSET(Ground!$A$2,Volume!Q54+1,0)</f>
        <v>5740</v>
      </c>
      <c r="U54">
        <f ca="1">OFFSET(Ground!$A$2,Volume!Q54+1,1)</f>
        <v>623.221495</v>
      </c>
      <c r="V54" s="26"/>
      <c r="W54">
        <f t="shared" si="0"/>
        <v>17.448392022043212</v>
      </c>
      <c r="X54">
        <f>IF(Volume!W54&lt;'Temp Calcs'!$E$8,1,0)</f>
        <v>0</v>
      </c>
      <c r="Z54">
        <f t="shared" si="1"/>
        <v>-17.96156744486255</v>
      </c>
      <c r="AA54">
        <f>IF(Volume!Z54&gt;'Temp Calcs'!$L$8,1,0)</f>
        <v>0</v>
      </c>
      <c r="AB54" s="8"/>
      <c r="AC54" s="7"/>
    </row>
    <row r="55" spans="1:29" ht="12.75">
      <c r="A55" s="1">
        <v>54</v>
      </c>
      <c r="C55" s="7">
        <f t="shared" si="13"/>
        <v>5730</v>
      </c>
      <c r="D55" s="8">
        <f t="shared" si="11"/>
        <v>622.8972527640182</v>
      </c>
      <c r="E55" s="7">
        <f t="shared" si="12"/>
        <v>-2.559370776946649</v>
      </c>
      <c r="F55" s="7"/>
      <c r="G55">
        <f t="shared" si="14"/>
        <v>623.391196</v>
      </c>
      <c r="H55" s="8">
        <f t="shared" si="15"/>
        <v>-0.49394323598187384</v>
      </c>
      <c r="I55" s="30">
        <f>IF(H55&lt;1,(Data!$G$16+14+0.8*Data!$G$17+Data!$G$18*(1-H55))*(1-H55),(Data!$G$16+6+Data!$G$17*(H55-0.6))*(H55-0.6))</f>
        <v>45.09898880337895</v>
      </c>
      <c r="J55" s="28">
        <f t="shared" si="16"/>
        <v>222.0439589307514</v>
      </c>
      <c r="K55" t="str">
        <f t="shared" si="17"/>
        <v>Cut</v>
      </c>
      <c r="L55" s="28">
        <f t="shared" si="18"/>
        <v>222.0439589307514</v>
      </c>
      <c r="M55" s="28">
        <f t="shared" si="19"/>
        <v>0</v>
      </c>
      <c r="N55" s="28">
        <f>SUM($L$3:L55)</f>
        <v>41049.84326740813</v>
      </c>
      <c r="O55" s="28">
        <f>SUM($M$3:M55)</f>
        <v>71260.69773647306</v>
      </c>
      <c r="Q55">
        <f>MATCH(C55,Ground!$A$3:$A$1999,1)</f>
        <v>58</v>
      </c>
      <c r="R55">
        <f ca="1">OFFSET(Ground!$A$2,Volume!Q55,0)</f>
        <v>5710</v>
      </c>
      <c r="S55">
        <f ca="1">OFFSET(Ground!$A$2,Volume!Q55,1)</f>
        <v>623.730598</v>
      </c>
      <c r="T55">
        <f ca="1">OFFSET(Ground!$A$2,Volume!Q55+1,0)</f>
        <v>5740</v>
      </c>
      <c r="U55">
        <f ca="1">OFFSET(Ground!$A$2,Volume!Q55+1,1)</f>
        <v>623.221495</v>
      </c>
      <c r="V55" s="26"/>
      <c r="W55">
        <f t="shared" si="0"/>
        <v>17.328357914375257</v>
      </c>
      <c r="X55">
        <f>IF(Volume!W55&lt;'Temp Calcs'!$E$8,1,0)</f>
        <v>0</v>
      </c>
      <c r="Z55">
        <f t="shared" si="1"/>
        <v>-17.844325992022224</v>
      </c>
      <c r="AA55">
        <f>IF(Volume!Z55&gt;'Temp Calcs'!$L$8,1,0)</f>
        <v>0</v>
      </c>
      <c r="AB55" s="8"/>
      <c r="AC55" s="7"/>
    </row>
    <row r="56" spans="1:29" ht="12.75">
      <c r="A56" s="1">
        <v>55</v>
      </c>
      <c r="C56" s="7">
        <f t="shared" si="13"/>
        <v>5735</v>
      </c>
      <c r="D56" s="8">
        <f t="shared" si="11"/>
        <v>622.767879579138</v>
      </c>
      <c r="E56" s="7">
        <f t="shared" si="12"/>
        <v>-2.6155566182581826</v>
      </c>
      <c r="F56" s="7"/>
      <c r="G56">
        <f t="shared" si="14"/>
        <v>623.3063455</v>
      </c>
      <c r="H56" s="8">
        <f t="shared" si="15"/>
        <v>-0.5384659208619951</v>
      </c>
      <c r="I56" s="30">
        <f>IF(H56&lt;1,(Data!$G$16+14+0.8*Data!$G$17+Data!$G$18*(1-H56))*(1-H56),(Data!$G$16+6+Data!$G$17*(H56-0.6))*(H56-0.6))</f>
        <v>46.580027826753756</v>
      </c>
      <c r="J56" s="28">
        <f t="shared" si="16"/>
        <v>229.19754157533177</v>
      </c>
      <c r="K56" t="str">
        <f t="shared" si="17"/>
        <v>Cut</v>
      </c>
      <c r="L56" s="28">
        <f t="shared" si="18"/>
        <v>229.19754157533177</v>
      </c>
      <c r="M56" s="28">
        <f t="shared" si="19"/>
        <v>0</v>
      </c>
      <c r="N56" s="28">
        <f>SUM($L$3:L56)</f>
        <v>41279.04080898346</v>
      </c>
      <c r="O56" s="28">
        <f>SUM($M$3:M56)</f>
        <v>71260.69773647306</v>
      </c>
      <c r="Q56">
        <f>MATCH(C56,Ground!$A$3:$A$1999,1)</f>
        <v>58</v>
      </c>
      <c r="R56">
        <f ca="1">OFFSET(Ground!$A$2,Volume!Q56,0)</f>
        <v>5710</v>
      </c>
      <c r="S56">
        <f ca="1">OFFSET(Ground!$A$2,Volume!Q56,1)</f>
        <v>623.730598</v>
      </c>
      <c r="T56">
        <f ca="1">OFFSET(Ground!$A$2,Volume!Q56+1,0)</f>
        <v>5740</v>
      </c>
      <c r="U56">
        <f ca="1">OFFSET(Ground!$A$2,Volume!Q56+1,1)</f>
        <v>623.221495</v>
      </c>
      <c r="V56" s="26"/>
      <c r="W56">
        <f t="shared" si="0"/>
        <v>17.209100325782387</v>
      </c>
      <c r="X56">
        <f>IF(Volume!W56&lt;'Temp Calcs'!$E$8,1,0)</f>
        <v>0</v>
      </c>
      <c r="Z56">
        <f t="shared" si="1"/>
        <v>-17.727954635747935</v>
      </c>
      <c r="AA56">
        <f>IF(Volume!Z56&gt;'Temp Calcs'!$L$8,1,0)</f>
        <v>0</v>
      </c>
      <c r="AB56" s="8"/>
      <c r="AC56" s="7"/>
    </row>
    <row r="57" spans="1:29" ht="12.75">
      <c r="A57" s="1">
        <v>56</v>
      </c>
      <c r="C57" s="7">
        <f t="shared" si="13"/>
        <v>5740</v>
      </c>
      <c r="D57" s="8">
        <f t="shared" si="11"/>
        <v>622.6356971021924</v>
      </c>
      <c r="E57" s="7">
        <f t="shared" si="12"/>
        <v>-2.671742459569716</v>
      </c>
      <c r="F57" s="7"/>
      <c r="G57">
        <f t="shared" si="14"/>
        <v>623.221495</v>
      </c>
      <c r="H57" s="8">
        <f t="shared" si="15"/>
        <v>-0.5857978978076517</v>
      </c>
      <c r="I57" s="30">
        <f>IF(H57&lt;1,(Data!$G$16+14+0.8*Data!$G$17+Data!$G$18*(1-H57))*(1-H57),(Data!$G$16+6+Data!$G$17*(H57-0.6))*(H57-0.6))</f>
        <v>48.16321276575046</v>
      </c>
      <c r="J57" s="28">
        <f t="shared" si="16"/>
        <v>236.85810148126052</v>
      </c>
      <c r="K57" t="str">
        <f t="shared" si="17"/>
        <v>Cut</v>
      </c>
      <c r="L57" s="28">
        <f t="shared" si="18"/>
        <v>236.85810148126052</v>
      </c>
      <c r="M57" s="28">
        <f t="shared" si="19"/>
        <v>0</v>
      </c>
      <c r="N57" s="28">
        <f>SUM($L$3:L57)</f>
        <v>41515.89891046472</v>
      </c>
      <c r="O57" s="28">
        <f>SUM($M$3:M57)</f>
        <v>71260.69773647306</v>
      </c>
      <c r="Q57">
        <f>MATCH(C57,Ground!$A$3:$A$1999,1)</f>
        <v>59</v>
      </c>
      <c r="R57">
        <f ca="1">OFFSET(Ground!$A$2,Volume!Q57,0)</f>
        <v>5740</v>
      </c>
      <c r="S57">
        <f ca="1">OFFSET(Ground!$A$2,Volume!Q57,1)</f>
        <v>623.221495</v>
      </c>
      <c r="T57">
        <f ca="1">OFFSET(Ground!$A$2,Volume!Q57+1,0)</f>
        <v>5770</v>
      </c>
      <c r="U57">
        <f ca="1">OFFSET(Ground!$A$2,Volume!Q57+1,1)</f>
        <v>622.58107</v>
      </c>
      <c r="V57" s="26"/>
      <c r="W57">
        <f t="shared" si="0"/>
        <v>17.09058865462841</v>
      </c>
      <c r="X57">
        <f>IF(Volume!W57&lt;'Temp Calcs'!$E$8,1,0)</f>
        <v>0</v>
      </c>
      <c r="Z57">
        <f t="shared" si="1"/>
        <v>-17.612425411595257</v>
      </c>
      <c r="AA57">
        <f>IF(Volume!Z57&gt;'Temp Calcs'!$L$8,1,0)</f>
        <v>0</v>
      </c>
      <c r="AB57" s="8"/>
      <c r="AC57" s="7"/>
    </row>
    <row r="58" spans="1:29" ht="12.75">
      <c r="A58" s="1">
        <v>57</v>
      </c>
      <c r="C58" s="7">
        <f t="shared" si="13"/>
        <v>5745</v>
      </c>
      <c r="D58" s="8">
        <f t="shared" si="11"/>
        <v>622.5007053331809</v>
      </c>
      <c r="E58" s="7">
        <f t="shared" si="12"/>
        <v>-2.72792830088125</v>
      </c>
      <c r="F58" s="7"/>
      <c r="G58">
        <f t="shared" si="14"/>
        <v>623.1147575</v>
      </c>
      <c r="H58" s="8">
        <f t="shared" si="15"/>
        <v>-0.6140521668190786</v>
      </c>
      <c r="I58" s="30">
        <f>IF(H58&lt;1,(Data!$G$16+14+0.8*Data!$G$17+Data!$G$18*(1-H58))*(1-H58),(Data!$G$16+6+Data!$G$17*(H58-0.6))*(H58-0.6))</f>
        <v>49.112547731905664</v>
      </c>
      <c r="J58" s="28">
        <f t="shared" si="16"/>
        <v>243.1894012441403</v>
      </c>
      <c r="K58" t="str">
        <f t="shared" si="17"/>
        <v>Cut</v>
      </c>
      <c r="L58" s="28">
        <f t="shared" si="18"/>
        <v>243.1894012441403</v>
      </c>
      <c r="M58" s="28">
        <f t="shared" si="19"/>
        <v>0</v>
      </c>
      <c r="N58" s="28">
        <f>SUM($L$3:L58)</f>
        <v>41759.08831170886</v>
      </c>
      <c r="O58" s="28">
        <f>SUM($M$3:M58)</f>
        <v>71260.69773647306</v>
      </c>
      <c r="Q58">
        <f>MATCH(C58,Ground!$A$3:$A$1999,1)</f>
        <v>59</v>
      </c>
      <c r="R58">
        <f ca="1">OFFSET(Ground!$A$2,Volume!Q58,0)</f>
        <v>5740</v>
      </c>
      <c r="S58">
        <f ca="1">OFFSET(Ground!$A$2,Volume!Q58,1)</f>
        <v>623.221495</v>
      </c>
      <c r="T58">
        <f ca="1">OFFSET(Ground!$A$2,Volume!Q58+1,0)</f>
        <v>5770</v>
      </c>
      <c r="U58">
        <f ca="1">OFFSET(Ground!$A$2,Volume!Q58+1,1)</f>
        <v>622.58107</v>
      </c>
      <c r="V58" s="26"/>
      <c r="W58">
        <f t="shared" si="0"/>
        <v>16.97279214901682</v>
      </c>
      <c r="X58">
        <f>IF(Volume!W58&lt;'Temp Calcs'!$E$8,1,0)</f>
        <v>0</v>
      </c>
      <c r="Z58">
        <f t="shared" si="1"/>
        <v>-17.497710336146536</v>
      </c>
      <c r="AA58">
        <f>IF(Volume!Z58&gt;'Temp Calcs'!$L$8,1,0)</f>
        <v>0</v>
      </c>
      <c r="AB58" s="8"/>
      <c r="AC58" s="7"/>
    </row>
    <row r="59" spans="1:29" ht="12.75">
      <c r="A59" s="1">
        <v>58</v>
      </c>
      <c r="C59" s="7">
        <f t="shared" si="13"/>
        <v>5750</v>
      </c>
      <c r="D59" s="8">
        <f t="shared" si="11"/>
        <v>622.3629042721042</v>
      </c>
      <c r="E59" s="7">
        <f t="shared" si="12"/>
        <v>-2.7841141421927835</v>
      </c>
      <c r="F59" s="7"/>
      <c r="G59">
        <f t="shared" si="14"/>
        <v>623.00802</v>
      </c>
      <c r="H59" s="8">
        <f t="shared" si="15"/>
        <v>-0.6451157278958135</v>
      </c>
      <c r="I59" s="30">
        <f>IF(H59&lt;1,(Data!$G$16+14+0.8*Data!$G$17+Data!$G$18*(1-H59))*(1-H59),(Data!$G$16+6+Data!$G$17*(H59-0.6))*(H59-0.6))</f>
        <v>50.15995931510647</v>
      </c>
      <c r="J59" s="28">
        <f t="shared" si="16"/>
        <v>248.18126761753035</v>
      </c>
      <c r="K59" t="str">
        <f t="shared" si="17"/>
        <v>Cut</v>
      </c>
      <c r="L59" s="28">
        <f t="shared" si="18"/>
        <v>248.18126761753035</v>
      </c>
      <c r="M59" s="28">
        <f t="shared" si="19"/>
        <v>0</v>
      </c>
      <c r="N59" s="28">
        <f>SUM($L$3:L59)</f>
        <v>42007.26957932639</v>
      </c>
      <c r="O59" s="28">
        <f>SUM($M$3:M59)</f>
        <v>71260.69773647306</v>
      </c>
      <c r="Q59">
        <f>MATCH(C59,Ground!$A$3:$A$1999,1)</f>
        <v>59</v>
      </c>
      <c r="R59">
        <f ca="1">OFFSET(Ground!$A$2,Volume!Q59,0)</f>
        <v>5740</v>
      </c>
      <c r="S59">
        <f ca="1">OFFSET(Ground!$A$2,Volume!Q59,1)</f>
        <v>623.221495</v>
      </c>
      <c r="T59">
        <f ca="1">OFFSET(Ground!$A$2,Volume!Q59+1,0)</f>
        <v>5770</v>
      </c>
      <c r="U59">
        <f ca="1">OFFSET(Ground!$A$2,Volume!Q59+1,1)</f>
        <v>622.58107</v>
      </c>
      <c r="V59" s="26"/>
      <c r="W59">
        <f t="shared" si="0"/>
        <v>16.855679864400216</v>
      </c>
      <c r="X59">
        <f>IF(Volume!W59&lt;'Temp Calcs'!$E$8,1,0)</f>
        <v>0</v>
      </c>
      <c r="Z59">
        <f t="shared" si="1"/>
        <v>-17.383781371861648</v>
      </c>
      <c r="AA59">
        <f>IF(Volume!Z59&gt;'Temp Calcs'!$L$8,1,0)</f>
        <v>0</v>
      </c>
      <c r="AB59" s="8"/>
      <c r="AC59" s="7"/>
    </row>
    <row r="60" spans="1:29" ht="12.75">
      <c r="A60" s="1">
        <v>59</v>
      </c>
      <c r="C60" s="7">
        <f t="shared" si="13"/>
        <v>5755</v>
      </c>
      <c r="D60" s="8">
        <f t="shared" si="11"/>
        <v>622.2222939189617</v>
      </c>
      <c r="E60" s="7">
        <f t="shared" si="12"/>
        <v>-2.840299983504317</v>
      </c>
      <c r="F60" s="7"/>
      <c r="G60">
        <f t="shared" si="14"/>
        <v>622.9012825</v>
      </c>
      <c r="H60" s="8">
        <f t="shared" si="15"/>
        <v>-0.6789885810383112</v>
      </c>
      <c r="I60" s="30">
        <f>IF(H60&lt;1,(Data!$G$16+14+0.8*Data!$G$17+Data!$G$18*(1-H60))*(1-H60),(Data!$G$16+6+Data!$G$17*(H60-0.6))*(H60-0.6))</f>
        <v>51.30649471475615</v>
      </c>
      <c r="J60" s="28">
        <f t="shared" si="16"/>
        <v>253.66613507465655</v>
      </c>
      <c r="K60" t="str">
        <f t="shared" si="17"/>
        <v>Cut</v>
      </c>
      <c r="L60" s="28">
        <f t="shared" si="18"/>
        <v>253.66613507465655</v>
      </c>
      <c r="M60" s="28">
        <f t="shared" si="19"/>
        <v>0</v>
      </c>
      <c r="N60" s="28">
        <f>SUM($L$3:L60)</f>
        <v>42260.93571440105</v>
      </c>
      <c r="O60" s="28">
        <f>SUM($M$3:M60)</f>
        <v>71260.69773647306</v>
      </c>
      <c r="Q60">
        <f>MATCH(C60,Ground!$A$3:$A$1999,1)</f>
        <v>59</v>
      </c>
      <c r="R60">
        <f ca="1">OFFSET(Ground!$A$2,Volume!Q60,0)</f>
        <v>5740</v>
      </c>
      <c r="S60">
        <f ca="1">OFFSET(Ground!$A$2,Volume!Q60,1)</f>
        <v>623.221495</v>
      </c>
      <c r="T60">
        <f ca="1">OFFSET(Ground!$A$2,Volume!Q60+1,0)</f>
        <v>5770</v>
      </c>
      <c r="U60">
        <f ca="1">OFFSET(Ground!$A$2,Volume!Q60+1,1)</f>
        <v>622.58107</v>
      </c>
      <c r="V60" s="26"/>
      <c r="W60">
        <f t="shared" si="0"/>
        <v>16.739220619327625</v>
      </c>
      <c r="X60">
        <f>IF(Volume!W60&lt;'Temp Calcs'!$E$8,1,0)</f>
        <v>0</v>
      </c>
      <c r="Z60">
        <f t="shared" si="1"/>
        <v>-17.27061039058217</v>
      </c>
      <c r="AA60">
        <f>IF(Volume!Z60&gt;'Temp Calcs'!$L$8,1,0)</f>
        <v>0</v>
      </c>
      <c r="AB60" s="8"/>
      <c r="AC60" s="7"/>
    </row>
    <row r="61" spans="1:29" ht="12.75">
      <c r="A61" s="1">
        <v>60</v>
      </c>
      <c r="C61" s="7">
        <f t="shared" si="13"/>
        <v>5760</v>
      </c>
      <c r="D61" s="8">
        <f t="shared" si="11"/>
        <v>622.0788742737537</v>
      </c>
      <c r="E61" s="7">
        <f t="shared" si="12"/>
        <v>-2.8964858248158505</v>
      </c>
      <c r="F61" s="7"/>
      <c r="G61">
        <f t="shared" si="14"/>
        <v>622.794545</v>
      </c>
      <c r="H61" s="8">
        <f t="shared" si="15"/>
        <v>-0.7156707262462305</v>
      </c>
      <c r="I61" s="30">
        <f>IF(H61&lt;1,(Data!$G$16+14+0.8*Data!$G$17+Data!$G$18*(1-H61))*(1-H61),(Data!$G$16+6+Data!$G$17*(H61-0.6))*(H61-0.6))</f>
        <v>52.553295835694</v>
      </c>
      <c r="J61" s="28">
        <f t="shared" si="16"/>
        <v>259.6494763761254</v>
      </c>
      <c r="K61" t="str">
        <f t="shared" si="17"/>
        <v>Cut</v>
      </c>
      <c r="L61" s="28">
        <f t="shared" si="18"/>
        <v>259.6494763761254</v>
      </c>
      <c r="M61" s="28">
        <f t="shared" si="19"/>
        <v>0</v>
      </c>
      <c r="N61" s="28">
        <f>SUM($L$3:L61)</f>
        <v>42520.58519077717</v>
      </c>
      <c r="O61" s="28">
        <f>SUM($M$3:M61)</f>
        <v>71260.69773647306</v>
      </c>
      <c r="Q61">
        <f>MATCH(C61,Ground!$A$3:$A$1999,1)</f>
        <v>59</v>
      </c>
      <c r="R61">
        <f ca="1">OFFSET(Ground!$A$2,Volume!Q61,0)</f>
        <v>5740</v>
      </c>
      <c r="S61">
        <f ca="1">OFFSET(Ground!$A$2,Volume!Q61,1)</f>
        <v>623.221495</v>
      </c>
      <c r="T61">
        <f ca="1">OFFSET(Ground!$A$2,Volume!Q61+1,0)</f>
        <v>5770</v>
      </c>
      <c r="U61">
        <f ca="1">OFFSET(Ground!$A$2,Volume!Q61+1,1)</f>
        <v>622.58107</v>
      </c>
      <c r="V61" s="26"/>
      <c r="W61">
        <f t="shared" si="0"/>
        <v>16.623382949130455</v>
      </c>
      <c r="X61">
        <f>IF(Volume!W61&lt;'Temp Calcs'!$E$8,1,0)</f>
        <v>0</v>
      </c>
      <c r="Z61">
        <f t="shared" si="1"/>
        <v>-17.1581691355318</v>
      </c>
      <c r="AA61">
        <f>IF(Volume!Z61&gt;'Temp Calcs'!$L$8,1,0)</f>
        <v>0</v>
      </c>
      <c r="AB61" s="8"/>
      <c r="AC61" s="7"/>
    </row>
    <row r="62" spans="1:29" ht="12.75">
      <c r="A62" s="1">
        <v>61</v>
      </c>
      <c r="C62" s="7">
        <f t="shared" si="13"/>
        <v>5765</v>
      </c>
      <c r="D62" s="8">
        <f t="shared" si="11"/>
        <v>621.9326453364802</v>
      </c>
      <c r="E62" s="7">
        <f t="shared" si="12"/>
        <v>-2.9526716661273844</v>
      </c>
      <c r="F62" s="7"/>
      <c r="G62">
        <f t="shared" si="14"/>
        <v>622.6878075</v>
      </c>
      <c r="H62" s="8">
        <f t="shared" si="15"/>
        <v>-0.7551621635197989</v>
      </c>
      <c r="I62" s="30">
        <f>IF(H62&lt;1,(Data!$G$16+14+0.8*Data!$G$17+Data!$G$18*(1-H62))*(1-H62),(Data!$G$16+6+Data!$G$17*(H62-0.6))*(H62-0.6))</f>
        <v>53.901599288241535</v>
      </c>
      <c r="J62" s="28">
        <f t="shared" si="16"/>
        <v>266.13723780983884</v>
      </c>
      <c r="K62" t="str">
        <f t="shared" si="17"/>
        <v>Cut</v>
      </c>
      <c r="L62" s="28">
        <f t="shared" si="18"/>
        <v>266.13723780983884</v>
      </c>
      <c r="M62" s="28">
        <f t="shared" si="19"/>
        <v>0</v>
      </c>
      <c r="N62" s="28">
        <f>SUM($L$3:L62)</f>
        <v>42786.72242858701</v>
      </c>
      <c r="O62" s="28">
        <f>SUM($M$3:M62)</f>
        <v>71260.69773647306</v>
      </c>
      <c r="Q62">
        <f>MATCH(C62,Ground!$A$3:$A$1999,1)</f>
        <v>59</v>
      </c>
      <c r="R62">
        <f ca="1">OFFSET(Ground!$A$2,Volume!Q62,0)</f>
        <v>5740</v>
      </c>
      <c r="S62">
        <f ca="1">OFFSET(Ground!$A$2,Volume!Q62,1)</f>
        <v>623.221495</v>
      </c>
      <c r="T62">
        <f ca="1">OFFSET(Ground!$A$2,Volume!Q62+1,0)</f>
        <v>5770</v>
      </c>
      <c r="U62">
        <f ca="1">OFFSET(Ground!$A$2,Volume!Q62+1,1)</f>
        <v>622.58107</v>
      </c>
      <c r="V62" s="26"/>
      <c r="W62">
        <f t="shared" si="0"/>
        <v>16.508135057340212</v>
      </c>
      <c r="X62">
        <f>IF(Volume!W62&lt;'Temp Calcs'!$E$8,1,0)</f>
        <v>0</v>
      </c>
      <c r="Z62">
        <f t="shared" si="1"/>
        <v>-17.046429181652275</v>
      </c>
      <c r="AA62">
        <f>IF(Volume!Z62&gt;'Temp Calcs'!$L$8,1,0)</f>
        <v>0</v>
      </c>
      <c r="AB62" s="8"/>
      <c r="AC62" s="7"/>
    </row>
    <row r="63" spans="1:29" ht="12.75">
      <c r="A63" s="1">
        <v>62</v>
      </c>
      <c r="C63" s="7">
        <f t="shared" si="13"/>
        <v>5770</v>
      </c>
      <c r="D63" s="8">
        <f t="shared" si="11"/>
        <v>621.783607107141</v>
      </c>
      <c r="E63" s="7">
        <f t="shared" si="12"/>
        <v>-3.008857507438918</v>
      </c>
      <c r="F63" s="7"/>
      <c r="G63">
        <f t="shared" si="14"/>
        <v>622.58107</v>
      </c>
      <c r="H63" s="8">
        <f t="shared" si="15"/>
        <v>-0.7974628928589027</v>
      </c>
      <c r="I63" s="30">
        <f>IF(H63&lt;1,(Data!$G$16+14+0.8*Data!$G$17+Data!$G$18*(1-H63))*(1-H63),(Data!$G$16+6+Data!$G$17*(H63-0.6))*(H63-0.6))</f>
        <v>55.35273638817154</v>
      </c>
      <c r="J63" s="28">
        <f t="shared" si="16"/>
        <v>273.1358391910327</v>
      </c>
      <c r="K63" t="str">
        <f t="shared" si="17"/>
        <v>Cut</v>
      </c>
      <c r="L63" s="28">
        <f t="shared" si="18"/>
        <v>273.1358391910327</v>
      </c>
      <c r="M63" s="28">
        <f t="shared" si="19"/>
        <v>0</v>
      </c>
      <c r="N63" s="28">
        <f>SUM($L$3:L63)</f>
        <v>43059.85826777804</v>
      </c>
      <c r="O63" s="28">
        <f>SUM($M$3:M63)</f>
        <v>71260.69773647306</v>
      </c>
      <c r="Q63">
        <f>MATCH(C63,Ground!$A$3:$A$1999,1)</f>
        <v>60</v>
      </c>
      <c r="R63">
        <f ca="1">OFFSET(Ground!$A$2,Volume!Q63,0)</f>
        <v>5770</v>
      </c>
      <c r="S63">
        <f ca="1">OFFSET(Ground!$A$2,Volume!Q63,1)</f>
        <v>622.58107</v>
      </c>
      <c r="T63">
        <f ca="1">OFFSET(Ground!$A$2,Volume!Q63+1,0)</f>
        <v>5800</v>
      </c>
      <c r="U63">
        <f ca="1">OFFSET(Ground!$A$2,Volume!Q63+1,1)</f>
        <v>621.781728</v>
      </c>
      <c r="V63" s="26"/>
      <c r="W63">
        <f t="shared" si="0"/>
        <v>16.393444764603576</v>
      </c>
      <c r="X63">
        <f>IF(Volume!W63&lt;'Temp Calcs'!$E$8,1,0)</f>
        <v>0</v>
      </c>
      <c r="Z63">
        <f t="shared" si="1"/>
        <v>-16.935361894091034</v>
      </c>
      <c r="AA63">
        <f>IF(Volume!Z63&gt;'Temp Calcs'!$L$8,1,0)</f>
        <v>0</v>
      </c>
      <c r="AB63" s="8"/>
      <c r="AC63" s="7"/>
    </row>
    <row r="64" spans="1:29" ht="12.75">
      <c r="A64" s="1">
        <v>63</v>
      </c>
      <c r="C64" s="7">
        <f t="shared" si="13"/>
        <v>5775</v>
      </c>
      <c r="D64" s="8">
        <f t="shared" si="11"/>
        <v>621.6317595857363</v>
      </c>
      <c r="E64" s="7">
        <f t="shared" si="12"/>
        <v>-3.065043348750452</v>
      </c>
      <c r="F64" s="7"/>
      <c r="G64">
        <f t="shared" si="14"/>
        <v>622.4478463333332</v>
      </c>
      <c r="H64" s="8">
        <f t="shared" si="15"/>
        <v>-0.8160867475969553</v>
      </c>
      <c r="I64" s="30">
        <f>IF(H64&lt;1,(Data!$G$16+14+0.8*Data!$G$17+Data!$G$18*(1-H64))*(1-H64),(Data!$G$16+6+Data!$G$17*(H64-0.6))*(H64-0.6))</f>
        <v>55.99390168423176</v>
      </c>
      <c r="J64" s="28">
        <f t="shared" si="16"/>
        <v>278.3665951810082</v>
      </c>
      <c r="K64" t="str">
        <f t="shared" si="17"/>
        <v>Cut</v>
      </c>
      <c r="L64" s="28">
        <f t="shared" si="18"/>
        <v>278.3665951810082</v>
      </c>
      <c r="M64" s="28">
        <f t="shared" si="19"/>
        <v>0</v>
      </c>
      <c r="N64" s="28">
        <f>SUM($L$3:L64)</f>
        <v>43338.224862959054</v>
      </c>
      <c r="O64" s="28">
        <f>SUM($M$3:M64)</f>
        <v>71260.69773647306</v>
      </c>
      <c r="Q64">
        <f>MATCH(C64,Ground!$A$3:$A$1999,1)</f>
        <v>60</v>
      </c>
      <c r="R64">
        <f ca="1">OFFSET(Ground!$A$2,Volume!Q64,0)</f>
        <v>5770</v>
      </c>
      <c r="S64">
        <f ca="1">OFFSET(Ground!$A$2,Volume!Q64,1)</f>
        <v>622.58107</v>
      </c>
      <c r="T64">
        <f ca="1">OFFSET(Ground!$A$2,Volume!Q64+1,0)</f>
        <v>5800</v>
      </c>
      <c r="U64">
        <f ca="1">OFFSET(Ground!$A$2,Volume!Q64+1,1)</f>
        <v>621.781728</v>
      </c>
      <c r="V64" s="26"/>
      <c r="W64">
        <f t="shared" si="0"/>
        <v>16.279279454846485</v>
      </c>
      <c r="X64">
        <f>IF(Volume!W64&lt;'Temp Calcs'!$E$8,1,0)</f>
        <v>0</v>
      </c>
      <c r="Z64">
        <f t="shared" si="1"/>
        <v>-16.824938384647766</v>
      </c>
      <c r="AA64">
        <f>IF(Volume!Z64&gt;'Temp Calcs'!$L$8,1,0)</f>
        <v>0</v>
      </c>
      <c r="AB64" s="8"/>
      <c r="AC64" s="7"/>
    </row>
    <row r="65" spans="1:29" ht="12.75">
      <c r="A65" s="1">
        <v>64</v>
      </c>
      <c r="C65" s="7">
        <f t="shared" si="13"/>
        <v>5780</v>
      </c>
      <c r="D65" s="8">
        <f t="shared" si="11"/>
        <v>621.477102772266</v>
      </c>
      <c r="E65" s="7">
        <f t="shared" si="12"/>
        <v>-3.1212291900619853</v>
      </c>
      <c r="F65" s="7"/>
      <c r="G65">
        <f t="shared" si="14"/>
        <v>622.3146226666667</v>
      </c>
      <c r="H65" s="8">
        <f t="shared" si="15"/>
        <v>-0.837519894400657</v>
      </c>
      <c r="I65" s="30">
        <f>IF(H65&lt;1,(Data!$G$16+14+0.8*Data!$G$17+Data!$G$18*(1-H65))*(1-H65),(Data!$G$16+6+Data!$G$17*(H65-0.6))*(H65-0.6))</f>
        <v>56.73349985233427</v>
      </c>
      <c r="J65" s="28">
        <f t="shared" si="16"/>
        <v>281.81850384141507</v>
      </c>
      <c r="K65" t="str">
        <f t="shared" si="17"/>
        <v>Cut</v>
      </c>
      <c r="L65" s="28">
        <f t="shared" si="18"/>
        <v>281.81850384141507</v>
      </c>
      <c r="M65" s="28">
        <f t="shared" si="19"/>
        <v>0</v>
      </c>
      <c r="N65" s="28">
        <f>SUM($L$3:L65)</f>
        <v>43620.04336680047</v>
      </c>
      <c r="O65" s="28">
        <f>SUM($M$3:M65)</f>
        <v>71260.69773647306</v>
      </c>
      <c r="Q65">
        <f>MATCH(C65,Ground!$A$3:$A$1999,1)</f>
        <v>60</v>
      </c>
      <c r="R65">
        <f ca="1">OFFSET(Ground!$A$2,Volume!Q65,0)</f>
        <v>5770</v>
      </c>
      <c r="S65">
        <f ca="1">OFFSET(Ground!$A$2,Volume!Q65,1)</f>
        <v>622.58107</v>
      </c>
      <c r="T65">
        <f ca="1">OFFSET(Ground!$A$2,Volume!Q65+1,0)</f>
        <v>5800</v>
      </c>
      <c r="U65">
        <f ca="1">OFFSET(Ground!$A$2,Volume!Q65+1,1)</f>
        <v>621.781728</v>
      </c>
      <c r="V65" s="26"/>
      <c r="W65">
        <f t="shared" si="0"/>
        <v>16.165606018410877</v>
      </c>
      <c r="X65">
        <f>IF(Volume!W65&lt;'Temp Calcs'!$E$8,1,0)</f>
        <v>0</v>
      </c>
      <c r="Z65">
        <f t="shared" si="1"/>
        <v>-16.715129465964573</v>
      </c>
      <c r="AA65">
        <f>IF(Volume!Z65&gt;'Temp Calcs'!$L$8,1,0)</f>
        <v>0</v>
      </c>
      <c r="AB65" s="8"/>
      <c r="AC65" s="7"/>
    </row>
    <row r="66" spans="1:29" ht="12.75">
      <c r="A66" s="1">
        <v>65</v>
      </c>
      <c r="C66" s="7">
        <f t="shared" si="13"/>
        <v>5785</v>
      </c>
      <c r="D66" s="8">
        <f t="shared" si="11"/>
        <v>621.31963666673</v>
      </c>
      <c r="E66" s="7">
        <f t="shared" si="12"/>
        <v>-3.1774150313735188</v>
      </c>
      <c r="F66" s="7"/>
      <c r="G66">
        <f t="shared" si="14"/>
        <v>622.181399</v>
      </c>
      <c r="H66" s="8">
        <f t="shared" si="15"/>
        <v>-0.8617623332700077</v>
      </c>
      <c r="I66" s="30">
        <f>IF(H66&lt;1,(Data!$G$16+14+0.8*Data!$G$17+Data!$G$18*(1-H66))*(1-H66),(Data!$G$16+6+Data!$G$17*(H66-0.6))*(H66-0.6))</f>
        <v>57.572253436110174</v>
      </c>
      <c r="J66" s="28">
        <f t="shared" si="16"/>
        <v>285.7643832211111</v>
      </c>
      <c r="K66" t="str">
        <f t="shared" si="17"/>
        <v>Cut</v>
      </c>
      <c r="L66" s="28">
        <f t="shared" si="18"/>
        <v>285.7643832211111</v>
      </c>
      <c r="M66" s="28">
        <f t="shared" si="19"/>
        <v>0</v>
      </c>
      <c r="N66" s="28">
        <f>SUM($L$3:L66)</f>
        <v>43905.80775002158</v>
      </c>
      <c r="O66" s="28">
        <f>SUM($M$3:M66)</f>
        <v>71260.69773647306</v>
      </c>
      <c r="Q66">
        <f>MATCH(C66,Ground!$A$3:$A$1999,1)</f>
        <v>60</v>
      </c>
      <c r="R66">
        <f ca="1">OFFSET(Ground!$A$2,Volume!Q66,0)</f>
        <v>5770</v>
      </c>
      <c r="S66">
        <f ca="1">OFFSET(Ground!$A$2,Volume!Q66,1)</f>
        <v>622.58107</v>
      </c>
      <c r="T66">
        <f ca="1">OFFSET(Ground!$A$2,Volume!Q66+1,0)</f>
        <v>5800</v>
      </c>
      <c r="U66">
        <f ca="1">OFFSET(Ground!$A$2,Volume!Q66+1,1)</f>
        <v>621.781728</v>
      </c>
      <c r="V66" s="26"/>
      <c r="W66">
        <f t="shared" si="0"/>
        <v>16.05239079186517</v>
      </c>
      <c r="X66">
        <f>IF(Volume!W66&lt;'Temp Calcs'!$E$8,1,0)</f>
        <v>0</v>
      </c>
      <c r="Z66">
        <f t="shared" si="1"/>
        <v>-16.605905603228013</v>
      </c>
      <c r="AA66">
        <f>IF(Volume!Z66&gt;'Temp Calcs'!$L$8,1,0)</f>
        <v>0</v>
      </c>
      <c r="AB66" s="8"/>
      <c r="AC66" s="7"/>
    </row>
    <row r="67" spans="1:29" ht="12.75">
      <c r="A67" s="1">
        <v>66</v>
      </c>
      <c r="C67" s="7">
        <f t="shared" si="13"/>
        <v>5790</v>
      </c>
      <c r="D67" s="8">
        <f t="shared" si="11"/>
        <v>621.1593612691287</v>
      </c>
      <c r="E67" s="7">
        <f t="shared" si="12"/>
        <v>-3.2336008726850523</v>
      </c>
      <c r="F67" s="7"/>
      <c r="G67">
        <f t="shared" si="14"/>
        <v>622.0481753333333</v>
      </c>
      <c r="H67" s="8">
        <f t="shared" si="15"/>
        <v>-0.8888140642046665</v>
      </c>
      <c r="I67" s="30">
        <f>IF(H67&lt;1,(Data!$G$16+14+0.8*Data!$G$17+Data!$G$18*(1-H67))*(1-H67),(Data!$G$16+6+Data!$G$17*(H67-0.6))*(H67-0.6))</f>
        <v>58.510979684641626</v>
      </c>
      <c r="J67" s="28">
        <f t="shared" si="16"/>
        <v>290.2080828018795</v>
      </c>
      <c r="K67" t="str">
        <f t="shared" si="17"/>
        <v>Cut</v>
      </c>
      <c r="L67" s="28">
        <f t="shared" si="18"/>
        <v>290.2080828018795</v>
      </c>
      <c r="M67" s="28">
        <f t="shared" si="19"/>
        <v>0</v>
      </c>
      <c r="N67" s="28">
        <f>SUM($L$3:L67)</f>
        <v>44196.01583282346</v>
      </c>
      <c r="O67" s="28">
        <f>SUM($M$3:M67)</f>
        <v>71260.69773647306</v>
      </c>
      <c r="Q67">
        <f>MATCH(C67,Ground!$A$3:$A$1999,1)</f>
        <v>60</v>
      </c>
      <c r="R67">
        <f ca="1">OFFSET(Ground!$A$2,Volume!Q67,0)</f>
        <v>5770</v>
      </c>
      <c r="S67">
        <f ca="1">OFFSET(Ground!$A$2,Volume!Q67,1)</f>
        <v>622.58107</v>
      </c>
      <c r="T67">
        <f ca="1">OFFSET(Ground!$A$2,Volume!Q67+1,0)</f>
        <v>5800</v>
      </c>
      <c r="U67">
        <f ca="1">OFFSET(Ground!$A$2,Volume!Q67+1,1)</f>
        <v>621.781728</v>
      </c>
      <c r="V67" s="26"/>
      <c r="W67">
        <f aca="true" t="shared" si="20" ref="W67:W130">($W$1-C67)/(D67-$X$1)</f>
        <v>15.939599494157685</v>
      </c>
      <c r="X67">
        <f>IF(Volume!W67&lt;'Temp Calcs'!$E$8,1,0)</f>
        <v>0</v>
      </c>
      <c r="Z67">
        <f aca="true" t="shared" si="21" ref="Z67:Z130">(C67-$Z$1)/(D67-$AA$1)</f>
        <v>-16.497236863126204</v>
      </c>
      <c r="AA67">
        <f>IF(Volume!Z67&gt;'Temp Calcs'!$L$8,1,0)</f>
        <v>0</v>
      </c>
      <c r="AB67" s="8"/>
      <c r="AC67" s="7"/>
    </row>
    <row r="68" spans="1:29" ht="12.75">
      <c r="A68" s="1">
        <v>67</v>
      </c>
      <c r="C68" s="7">
        <f t="shared" si="13"/>
        <v>5795</v>
      </c>
      <c r="D68" s="8">
        <f t="shared" si="11"/>
        <v>620.9962765794616</v>
      </c>
      <c r="E68" s="7">
        <f t="shared" si="12"/>
        <v>-3.2897867139965857</v>
      </c>
      <c r="F68" s="7"/>
      <c r="G68">
        <f t="shared" si="14"/>
        <v>621.9149516666666</v>
      </c>
      <c r="H68" s="8">
        <f t="shared" si="15"/>
        <v>-0.918675087205088</v>
      </c>
      <c r="I68" s="30">
        <f>IF(H68&lt;1,(Data!$G$16+14+0.8*Data!$G$17+Data!$G$18*(1-H68))*(1-H68),(Data!$G$16+6+Data!$G$17*(H68-0.6))*(H68-0.6))</f>
        <v>59.5505905525013</v>
      </c>
      <c r="J68" s="28">
        <f t="shared" si="16"/>
        <v>295.15392559285726</v>
      </c>
      <c r="K68" t="str">
        <f t="shared" si="17"/>
        <v>Cut</v>
      </c>
      <c r="L68" s="28">
        <f t="shared" si="18"/>
        <v>295.15392559285726</v>
      </c>
      <c r="M68" s="28">
        <f t="shared" si="19"/>
        <v>0</v>
      </c>
      <c r="N68" s="28">
        <f>SUM($L$3:L68)</f>
        <v>44491.16975841632</v>
      </c>
      <c r="O68" s="28">
        <f>SUM($M$3:M68)</f>
        <v>71260.69773647306</v>
      </c>
      <c r="Q68">
        <f>MATCH(C68,Ground!$A$3:$A$1999,1)</f>
        <v>60</v>
      </c>
      <c r="R68">
        <f ca="1">OFFSET(Ground!$A$2,Volume!Q68,0)</f>
        <v>5770</v>
      </c>
      <c r="S68">
        <f ca="1">OFFSET(Ground!$A$2,Volume!Q68,1)</f>
        <v>622.58107</v>
      </c>
      <c r="T68">
        <f ca="1">OFFSET(Ground!$A$2,Volume!Q68+1,0)</f>
        <v>5800</v>
      </c>
      <c r="U68">
        <f ca="1">OFFSET(Ground!$A$2,Volume!Q68+1,1)</f>
        <v>621.781728</v>
      </c>
      <c r="V68" s="26"/>
      <c r="W68">
        <f t="shared" si="20"/>
        <v>15.827197158753137</v>
      </c>
      <c r="X68">
        <f>IF(Volume!W68&lt;'Temp Calcs'!$E$8,1,0)</f>
        <v>0</v>
      </c>
      <c r="Z68">
        <f t="shared" si="21"/>
        <v>-16.389092859782803</v>
      </c>
      <c r="AA68">
        <f>IF(Volume!Z68&gt;'Temp Calcs'!$L$8,1,0)</f>
        <v>0</v>
      </c>
      <c r="AB68" s="8"/>
      <c r="AC68" s="7"/>
    </row>
    <row r="69" spans="1:29" ht="12.75">
      <c r="A69" s="1">
        <v>68</v>
      </c>
      <c r="C69" s="7">
        <f t="shared" si="13"/>
        <v>5800</v>
      </c>
      <c r="D69" s="8">
        <f t="shared" si="11"/>
        <v>620.830382597729</v>
      </c>
      <c r="E69" s="7">
        <f t="shared" si="12"/>
        <v>-3.3459725553081197</v>
      </c>
      <c r="F69" s="7"/>
      <c r="G69">
        <f t="shared" si="14"/>
        <v>621.781728</v>
      </c>
      <c r="H69" s="8">
        <f t="shared" si="15"/>
        <v>-0.9513454022710448</v>
      </c>
      <c r="I69" s="30">
        <f>IF(H69&lt;1,(Data!$G$16+14+0.8*Data!$G$17+Data!$G$18*(1-H69))*(1-H69),(Data!$G$16+6+Data!$G$17*(H69-0.6))*(H69-0.6))</f>
        <v>60.69209269970111</v>
      </c>
      <c r="J69" s="28">
        <f t="shared" si="16"/>
        <v>300.606708130506</v>
      </c>
      <c r="K69" t="str">
        <f t="shared" si="17"/>
        <v>Cut</v>
      </c>
      <c r="L69" s="28">
        <f t="shared" si="18"/>
        <v>300.606708130506</v>
      </c>
      <c r="M69" s="28">
        <f t="shared" si="19"/>
        <v>0</v>
      </c>
      <c r="N69" s="28">
        <f>SUM($L$3:L69)</f>
        <v>44791.77646654683</v>
      </c>
      <c r="O69" s="28">
        <f>SUM($M$3:M69)</f>
        <v>71260.69773647306</v>
      </c>
      <c r="Q69">
        <f>MATCH(C69,Ground!$A$3:$A$1999,1)</f>
        <v>61</v>
      </c>
      <c r="R69">
        <f ca="1">OFFSET(Ground!$A$2,Volume!Q69,0)</f>
        <v>5800</v>
      </c>
      <c r="S69">
        <f ca="1">OFFSET(Ground!$A$2,Volume!Q69,1)</f>
        <v>621.781728</v>
      </c>
      <c r="T69">
        <f ca="1">OFFSET(Ground!$A$2,Volume!Q69+1,0)</f>
        <v>5830</v>
      </c>
      <c r="U69">
        <f ca="1">OFFSET(Ground!$A$2,Volume!Q69+1,1)</f>
        <v>620.881376</v>
      </c>
      <c r="V69" s="26"/>
      <c r="W69">
        <f t="shared" si="20"/>
        <v>15.715148061351622</v>
      </c>
      <c r="X69">
        <f>IF(Volume!W69&lt;'Temp Calcs'!$E$8,1,0)</f>
        <v>0</v>
      </c>
      <c r="Z69">
        <f t="shared" si="21"/>
        <v>-16.281442697357203</v>
      </c>
      <c r="AA69">
        <f>IF(Volume!Z69&gt;'Temp Calcs'!$L$8,1,0)</f>
        <v>0</v>
      </c>
      <c r="AB69" s="8"/>
      <c r="AC69" s="7"/>
    </row>
    <row r="70" spans="1:29" ht="12.75">
      <c r="A70" s="1">
        <v>69</v>
      </c>
      <c r="C70" s="7">
        <f t="shared" si="13"/>
        <v>5805</v>
      </c>
      <c r="D70" s="8">
        <f t="shared" si="11"/>
        <v>620.6616793239307</v>
      </c>
      <c r="E70" s="7">
        <f t="shared" si="12"/>
        <v>-3.402158396619653</v>
      </c>
      <c r="F70" s="7"/>
      <c r="G70">
        <f t="shared" si="14"/>
        <v>621.6316693333333</v>
      </c>
      <c r="H70" s="8">
        <f t="shared" si="15"/>
        <v>-0.9699900094026361</v>
      </c>
      <c r="I70" s="30">
        <f>IF(H70&lt;1,(Data!$G$16+14+0.8*Data!$G$17+Data!$G$18*(1-H70))*(1-H70),(Data!$G$16+6+Data!$G$17*(H70-0.6))*(H70-0.6))</f>
        <v>61.3454495300441</v>
      </c>
      <c r="J70" s="28">
        <f t="shared" si="16"/>
        <v>305.09385557436303</v>
      </c>
      <c r="K70" t="str">
        <f t="shared" si="17"/>
        <v>Cut</v>
      </c>
      <c r="L70" s="28">
        <f t="shared" si="18"/>
        <v>305.09385557436303</v>
      </c>
      <c r="M70" s="28">
        <f t="shared" si="19"/>
        <v>0</v>
      </c>
      <c r="N70" s="28">
        <f>SUM($L$3:L70)</f>
        <v>45096.87032212119</v>
      </c>
      <c r="O70" s="28">
        <f>SUM($M$3:M70)</f>
        <v>71260.69773647306</v>
      </c>
      <c r="Q70">
        <f>MATCH(C70,Ground!$A$3:$A$1999,1)</f>
        <v>61</v>
      </c>
      <c r="R70">
        <f ca="1">OFFSET(Ground!$A$2,Volume!Q70,0)</f>
        <v>5800</v>
      </c>
      <c r="S70">
        <f ca="1">OFFSET(Ground!$A$2,Volume!Q70,1)</f>
        <v>621.781728</v>
      </c>
      <c r="T70">
        <f ca="1">OFFSET(Ground!$A$2,Volume!Q70+1,0)</f>
        <v>5830</v>
      </c>
      <c r="U70">
        <f ca="1">OFFSET(Ground!$A$2,Volume!Q70+1,1)</f>
        <v>620.881376</v>
      </c>
      <c r="V70" s="26"/>
      <c r="W70">
        <f t="shared" si="20"/>
        <v>15.60341564275503</v>
      </c>
      <c r="X70">
        <f>IF(Volume!W70&lt;'Temp Calcs'!$E$8,1,0)</f>
        <v>0</v>
      </c>
      <c r="Z70">
        <f t="shared" si="21"/>
        <v>-16.174254908975755</v>
      </c>
      <c r="AA70">
        <f>IF(Volume!Z70&gt;'Temp Calcs'!$L$8,1,0)</f>
        <v>0</v>
      </c>
      <c r="AB70" s="8"/>
      <c r="AC70" s="7"/>
    </row>
    <row r="71" spans="1:29" ht="12.75">
      <c r="A71" s="1">
        <v>70</v>
      </c>
      <c r="C71" s="7">
        <f t="shared" si="13"/>
        <v>5810</v>
      </c>
      <c r="D71" s="8">
        <f t="shared" si="11"/>
        <v>620.490166758067</v>
      </c>
      <c r="E71" s="7">
        <f t="shared" si="12"/>
        <v>-3.458344237931187</v>
      </c>
      <c r="F71" s="7"/>
      <c r="G71">
        <f t="shared" si="14"/>
        <v>621.4816106666667</v>
      </c>
      <c r="H71" s="8">
        <f t="shared" si="15"/>
        <v>-0.9914439085997628</v>
      </c>
      <c r="I71" s="30">
        <f>IF(H71&lt;1,(Data!$G$16+14+0.8*Data!$G$17+Data!$G$18*(1-H71))*(1-H71),(Data!$G$16+6+Data!$G$17*(H71-0.6))*(H71-0.6))</f>
        <v>62.09897199611175</v>
      </c>
      <c r="J71" s="28">
        <f t="shared" si="16"/>
        <v>308.6110538153896</v>
      </c>
      <c r="K71" t="str">
        <f t="shared" si="17"/>
        <v>Cut</v>
      </c>
      <c r="L71" s="28">
        <f t="shared" si="18"/>
        <v>308.6110538153896</v>
      </c>
      <c r="M71" s="28">
        <f t="shared" si="19"/>
        <v>0</v>
      </c>
      <c r="N71" s="28">
        <f>SUM($L$3:L71)</f>
        <v>45405.48137593658</v>
      </c>
      <c r="O71" s="28">
        <f>SUM($M$3:M71)</f>
        <v>71260.69773647306</v>
      </c>
      <c r="Q71">
        <f>MATCH(C71,Ground!$A$3:$A$1999,1)</f>
        <v>61</v>
      </c>
      <c r="R71">
        <f ca="1">OFFSET(Ground!$A$2,Volume!Q71,0)</f>
        <v>5800</v>
      </c>
      <c r="S71">
        <f ca="1">OFFSET(Ground!$A$2,Volume!Q71,1)</f>
        <v>621.781728</v>
      </c>
      <c r="T71">
        <f ca="1">OFFSET(Ground!$A$2,Volume!Q71+1,0)</f>
        <v>5830</v>
      </c>
      <c r="U71">
        <f ca="1">OFFSET(Ground!$A$2,Volume!Q71+1,1)</f>
        <v>620.881376</v>
      </c>
      <c r="V71" s="26"/>
      <c r="W71">
        <f t="shared" si="20"/>
        <v>15.491962426392927</v>
      </c>
      <c r="X71">
        <f>IF(Volume!W71&lt;'Temp Calcs'!$E$8,1,0)</f>
        <v>0</v>
      </c>
      <c r="Z71">
        <f t="shared" si="21"/>
        <v>-16.067497391616033</v>
      </c>
      <c r="AA71">
        <f>IF(Volume!Z71&gt;'Temp Calcs'!$L$8,1,0)</f>
        <v>0</v>
      </c>
      <c r="AB71" s="8"/>
      <c r="AC71" s="7"/>
    </row>
    <row r="72" spans="1:29" ht="12.75">
      <c r="A72" s="1">
        <v>71</v>
      </c>
      <c r="C72" s="7">
        <f t="shared" si="13"/>
        <v>5815</v>
      </c>
      <c r="D72" s="8">
        <f t="shared" si="11"/>
        <v>620.3158449001376</v>
      </c>
      <c r="E72" s="7">
        <f t="shared" si="12"/>
        <v>-3.5145300792427205</v>
      </c>
      <c r="F72" s="7"/>
      <c r="G72">
        <f aca="true" t="shared" si="22" ref="G72:G101">S72+(U72-S72)*(C72-R72)/(T72-R72)</f>
        <v>621.3315520000001</v>
      </c>
      <c r="H72" s="8">
        <f aca="true" t="shared" si="23" ref="H72:H101">D72-G72</f>
        <v>-1.0157070998625386</v>
      </c>
      <c r="I72" s="30">
        <f>IF(H72&lt;1,(Data!$G$16+14+0.8*Data!$G$17+Data!$G$18*(1-H72))*(1-H72),(Data!$G$16+6+Data!$G$17*(H72-0.6))*(H72-0.6))</f>
        <v>62.95338334113354</v>
      </c>
      <c r="J72" s="28">
        <f t="shared" si="16"/>
        <v>312.6308883431132</v>
      </c>
      <c r="K72" t="str">
        <f aca="true" t="shared" si="24" ref="K72:K101">IF(H72&lt;0.5,"Cut","Fill")</f>
        <v>Cut</v>
      </c>
      <c r="L72" s="28">
        <f aca="true" t="shared" si="25" ref="L72:L101">IF(K72="Cut",J72,0)</f>
        <v>312.6308883431132</v>
      </c>
      <c r="M72" s="28">
        <f aca="true" t="shared" si="26" ref="M72:M101">IF(K72="Fill",J72,0)</f>
        <v>0</v>
      </c>
      <c r="N72" s="28">
        <f>SUM($L$3:L72)</f>
        <v>45718.11226427969</v>
      </c>
      <c r="O72" s="28">
        <f>SUM($M$3:M72)</f>
        <v>71260.69773647306</v>
      </c>
      <c r="Q72">
        <f>MATCH(C72,Ground!$A$3:$A$1999,1)</f>
        <v>61</v>
      </c>
      <c r="R72">
        <f ca="1">OFFSET(Ground!$A$2,Volume!Q72,0)</f>
        <v>5800</v>
      </c>
      <c r="S72">
        <f ca="1">OFFSET(Ground!$A$2,Volume!Q72,1)</f>
        <v>621.781728</v>
      </c>
      <c r="T72">
        <f ca="1">OFFSET(Ground!$A$2,Volume!Q72+1,0)</f>
        <v>5830</v>
      </c>
      <c r="U72">
        <f ca="1">OFFSET(Ground!$A$2,Volume!Q72+1,1)</f>
        <v>620.881376</v>
      </c>
      <c r="V72" s="26"/>
      <c r="W72">
        <f t="shared" si="20"/>
        <v>15.380749929976703</v>
      </c>
      <c r="X72">
        <f>IF(Volume!W72&lt;'Temp Calcs'!$E$8,1,0)</f>
        <v>0</v>
      </c>
      <c r="Z72">
        <f t="shared" si="21"/>
        <v>-15.961137336535366</v>
      </c>
      <c r="AA72">
        <f>IF(Volume!Z72&gt;'Temp Calcs'!$L$8,1,0)</f>
        <v>0</v>
      </c>
      <c r="AB72" s="8"/>
      <c r="AC72" s="7"/>
    </row>
    <row r="73" spans="1:29" ht="12.75">
      <c r="A73" s="1">
        <v>72</v>
      </c>
      <c r="C73" s="7">
        <f t="shared" si="13"/>
        <v>5820</v>
      </c>
      <c r="D73" s="8">
        <f t="shared" si="11"/>
        <v>620.1387137501426</v>
      </c>
      <c r="E73" s="7">
        <f t="shared" si="12"/>
        <v>-3.570715920554254</v>
      </c>
      <c r="F73" s="7"/>
      <c r="G73">
        <f t="shared" si="22"/>
        <v>621.1814933333334</v>
      </c>
      <c r="H73" s="8">
        <f t="shared" si="23"/>
        <v>-1.042779583190736</v>
      </c>
      <c r="I73" s="30">
        <f>IF(H73&lt;1,(Data!$G$16+14+0.8*Data!$G$17+Data!$G$18*(1-H73))*(1-H73),(Data!$G$16+6+Data!$G$17*(H73-0.6))*(H73-0.6))</f>
        <v>63.909501513789856</v>
      </c>
      <c r="J73" s="28">
        <f t="shared" si="16"/>
        <v>317.1572121373085</v>
      </c>
      <c r="K73" t="str">
        <f t="shared" si="24"/>
        <v>Cut</v>
      </c>
      <c r="L73" s="28">
        <f t="shared" si="25"/>
        <v>317.1572121373085</v>
      </c>
      <c r="M73" s="28">
        <f t="shared" si="26"/>
        <v>0</v>
      </c>
      <c r="N73" s="28">
        <f>SUM($L$3:L73)</f>
        <v>46035.269476417</v>
      </c>
      <c r="O73" s="28">
        <f>SUM($M$3:M73)</f>
        <v>71260.69773647306</v>
      </c>
      <c r="Q73">
        <f>MATCH(C73,Ground!$A$3:$A$1999,1)</f>
        <v>61</v>
      </c>
      <c r="R73">
        <f ca="1">OFFSET(Ground!$A$2,Volume!Q73,0)</f>
        <v>5800</v>
      </c>
      <c r="S73">
        <f ca="1">OFFSET(Ground!$A$2,Volume!Q73,1)</f>
        <v>621.781728</v>
      </c>
      <c r="T73">
        <f ca="1">OFFSET(Ground!$A$2,Volume!Q73+1,0)</f>
        <v>5830</v>
      </c>
      <c r="U73">
        <f ca="1">OFFSET(Ground!$A$2,Volume!Q73+1,1)</f>
        <v>620.881376</v>
      </c>
      <c r="V73" s="26"/>
      <c r="W73">
        <f t="shared" si="20"/>
        <v>15.269738570685778</v>
      </c>
      <c r="X73">
        <f>IF(Volume!W73&lt;'Temp Calcs'!$E$8,1,0)</f>
        <v>0</v>
      </c>
      <c r="Z73">
        <f t="shared" si="21"/>
        <v>-15.855141154782865</v>
      </c>
      <c r="AA73">
        <f>IF(Volume!Z73&gt;'Temp Calcs'!$L$8,1,0)</f>
        <v>0</v>
      </c>
      <c r="AB73" s="8"/>
      <c r="AC73" s="7"/>
    </row>
    <row r="74" spans="1:29" ht="12.75">
      <c r="A74" s="1">
        <v>73</v>
      </c>
      <c r="C74" s="7">
        <f t="shared" si="13"/>
        <v>5825</v>
      </c>
      <c r="D74" s="8">
        <f t="shared" si="11"/>
        <v>619.9587733080822</v>
      </c>
      <c r="E74" s="7">
        <f t="shared" si="12"/>
        <v>-3.6269017618657875</v>
      </c>
      <c r="F74" s="7"/>
      <c r="G74">
        <f t="shared" si="22"/>
        <v>621.0314346666667</v>
      </c>
      <c r="H74" s="8">
        <f t="shared" si="23"/>
        <v>-1.0726613585844689</v>
      </c>
      <c r="I74" s="30">
        <f>IF(H74&lt;1,(Data!$G$16+14+0.8*Data!$G$17+Data!$G$18*(1-H74))*(1-H74),(Data!$G$16+6+Data!$G$17*(H74-0.6))*(H74-0.6))</f>
        <v>64.96823916823598</v>
      </c>
      <c r="J74" s="28">
        <f t="shared" si="16"/>
        <v>322.1943517050646</v>
      </c>
      <c r="K74" t="str">
        <f t="shared" si="24"/>
        <v>Cut</v>
      </c>
      <c r="L74" s="28">
        <f t="shared" si="25"/>
        <v>322.1943517050646</v>
      </c>
      <c r="M74" s="28">
        <f t="shared" si="26"/>
        <v>0</v>
      </c>
      <c r="N74" s="28">
        <f>SUM($L$3:L74)</f>
        <v>46357.46382812207</v>
      </c>
      <c r="O74" s="28">
        <f>SUM($M$3:M74)</f>
        <v>71260.69773647306</v>
      </c>
      <c r="Q74">
        <f>MATCH(C74,Ground!$A$3:$A$1999,1)</f>
        <v>61</v>
      </c>
      <c r="R74">
        <f ca="1">OFFSET(Ground!$A$2,Volume!Q74,0)</f>
        <v>5800</v>
      </c>
      <c r="S74">
        <f ca="1">OFFSET(Ground!$A$2,Volume!Q74,1)</f>
        <v>621.781728</v>
      </c>
      <c r="T74">
        <f ca="1">OFFSET(Ground!$A$2,Volume!Q74+1,0)</f>
        <v>5830</v>
      </c>
      <c r="U74">
        <f ca="1">OFFSET(Ground!$A$2,Volume!Q74+1,1)</f>
        <v>620.881376</v>
      </c>
      <c r="V74" s="26"/>
      <c r="W74">
        <f t="shared" si="20"/>
        <v>15.158887563231145</v>
      </c>
      <c r="X74">
        <f>IF(Volume!W74&lt;'Temp Calcs'!$E$8,1,0)</f>
        <v>0</v>
      </c>
      <c r="Z74">
        <f t="shared" si="21"/>
        <v>-15.749474397290992</v>
      </c>
      <c r="AA74">
        <f>IF(Volume!Z74&gt;'Temp Calcs'!$L$8,1,0)</f>
        <v>0</v>
      </c>
      <c r="AB74" s="8"/>
      <c r="AC74" s="7"/>
    </row>
    <row r="75" spans="1:29" ht="12.75">
      <c r="A75" s="1">
        <v>74</v>
      </c>
      <c r="C75" s="7">
        <f t="shared" si="13"/>
        <v>5830</v>
      </c>
      <c r="D75" s="8">
        <f t="shared" si="11"/>
        <v>619.7760235739561</v>
      </c>
      <c r="E75" s="7">
        <f t="shared" si="12"/>
        <v>-3.683087603177321</v>
      </c>
      <c r="F75" s="7"/>
      <c r="G75">
        <f t="shared" si="22"/>
        <v>620.881376</v>
      </c>
      <c r="H75" s="8">
        <f t="shared" si="23"/>
        <v>-1.1053524260439644</v>
      </c>
      <c r="I75" s="30">
        <f>IF(H75&lt;1,(Data!$G$16+14+0.8*Data!$G$17+Data!$G$18*(1-H75))*(1-H75),(Data!$G$16+6+Data!$G$17*(H75-0.6))*(H75-0.6))</f>
        <v>66.13060366409424</v>
      </c>
      <c r="J75" s="28">
        <f t="shared" si="16"/>
        <v>327.7471070808255</v>
      </c>
      <c r="K75" t="str">
        <f t="shared" si="24"/>
        <v>Cut</v>
      </c>
      <c r="L75" s="28">
        <f t="shared" si="25"/>
        <v>327.7471070808255</v>
      </c>
      <c r="M75" s="28">
        <f t="shared" si="26"/>
        <v>0</v>
      </c>
      <c r="N75" s="28">
        <f>SUM($L$3:L75)</f>
        <v>46685.21093520289</v>
      </c>
      <c r="O75" s="28">
        <f>SUM($M$3:M75)</f>
        <v>71260.69773647306</v>
      </c>
      <c r="Q75">
        <f>MATCH(C75,Ground!$A$3:$A$1999,1)</f>
        <v>62</v>
      </c>
      <c r="R75">
        <f ca="1">OFFSET(Ground!$A$2,Volume!Q75,0)</f>
        <v>5830</v>
      </c>
      <c r="S75">
        <f ca="1">OFFSET(Ground!$A$2,Volume!Q75,1)</f>
        <v>620.881376</v>
      </c>
      <c r="T75">
        <f ca="1">OFFSET(Ground!$A$2,Volume!Q75+1,0)</f>
        <v>5860</v>
      </c>
      <c r="U75">
        <f ca="1">OFFSET(Ground!$A$2,Volume!Q75+1,1)</f>
        <v>619.873252</v>
      </c>
      <c r="V75" s="26"/>
      <c r="W75">
        <f t="shared" si="20"/>
        <v>15.048154810064531</v>
      </c>
      <c r="X75">
        <f>IF(Volume!W75&lt;'Temp Calcs'!$E$8,1,0)</f>
        <v>0</v>
      </c>
      <c r="Z75">
        <f t="shared" si="21"/>
        <v>-15.644101668982634</v>
      </c>
      <c r="AA75">
        <f>IF(Volume!Z75&gt;'Temp Calcs'!$L$8,1,0)</f>
        <v>0</v>
      </c>
      <c r="AB75" s="8"/>
      <c r="AC75" s="7"/>
    </row>
    <row r="76" spans="1:29" ht="12.75">
      <c r="A76" s="1">
        <v>75</v>
      </c>
      <c r="C76" s="7">
        <f t="shared" si="13"/>
        <v>5835</v>
      </c>
      <c r="D76" s="8">
        <f t="shared" si="11"/>
        <v>619.5904645477644</v>
      </c>
      <c r="E76" s="7">
        <f t="shared" si="12"/>
        <v>-3.739273444488855</v>
      </c>
      <c r="F76" s="7"/>
      <c r="G76">
        <f t="shared" si="22"/>
        <v>620.7133553333333</v>
      </c>
      <c r="H76" s="8">
        <f t="shared" si="23"/>
        <v>-1.1228907855688703</v>
      </c>
      <c r="I76" s="30">
        <f>IF(H76&lt;1,(Data!$G$16+14+0.8*Data!$G$17+Data!$G$18*(1-H76))*(1-H76),(Data!$G$16+6+Data!$G$17*(H76-0.6))*(H76-0.6))</f>
        <v>66.7559599423797</v>
      </c>
      <c r="J76" s="28">
        <f t="shared" si="16"/>
        <v>332.21640901618485</v>
      </c>
      <c r="K76" t="str">
        <f t="shared" si="24"/>
        <v>Cut</v>
      </c>
      <c r="L76" s="28">
        <f t="shared" si="25"/>
        <v>332.21640901618485</v>
      </c>
      <c r="M76" s="28">
        <f t="shared" si="26"/>
        <v>0</v>
      </c>
      <c r="N76" s="28">
        <f>SUM($L$3:L76)</f>
        <v>47017.427344219075</v>
      </c>
      <c r="O76" s="28">
        <f>SUM($M$3:M76)</f>
        <v>71260.69773647306</v>
      </c>
      <c r="Q76">
        <f>MATCH(C76,Ground!$A$3:$A$1999,1)</f>
        <v>62</v>
      </c>
      <c r="R76">
        <f ca="1">OFFSET(Ground!$A$2,Volume!Q76,0)</f>
        <v>5830</v>
      </c>
      <c r="S76">
        <f ca="1">OFFSET(Ground!$A$2,Volume!Q76,1)</f>
        <v>620.881376</v>
      </c>
      <c r="T76">
        <f ca="1">OFFSET(Ground!$A$2,Volume!Q76+1,0)</f>
        <v>5860</v>
      </c>
      <c r="U76">
        <f ca="1">OFFSET(Ground!$A$2,Volume!Q76+1,1)</f>
        <v>619.873252</v>
      </c>
      <c r="V76" s="26"/>
      <c r="W76">
        <f t="shared" si="20"/>
        <v>14.93749678292046</v>
      </c>
      <c r="X76">
        <f>IF(Volume!W76&lt;'Temp Calcs'!$E$8,1,0)</f>
        <v>0</v>
      </c>
      <c r="Z76">
        <f t="shared" si="21"/>
        <v>-15.538986536267815</v>
      </c>
      <c r="AA76">
        <f>IF(Volume!Z76&gt;'Temp Calcs'!$L$8,1,0)</f>
        <v>0</v>
      </c>
      <c r="AB76" s="8"/>
      <c r="AC76" s="7"/>
    </row>
    <row r="77" spans="1:29" ht="12.75">
      <c r="A77" s="1">
        <v>76</v>
      </c>
      <c r="C77" s="7">
        <f t="shared" si="13"/>
        <v>5840</v>
      </c>
      <c r="D77" s="8">
        <f t="shared" si="11"/>
        <v>619.4020962295073</v>
      </c>
      <c r="E77" s="7">
        <f t="shared" si="12"/>
        <v>-3.7954592858003884</v>
      </c>
      <c r="F77" s="7"/>
      <c r="G77">
        <f t="shared" si="22"/>
        <v>620.5453346666667</v>
      </c>
      <c r="H77" s="8">
        <f t="shared" si="23"/>
        <v>-1.1432384371594253</v>
      </c>
      <c r="I77" s="30">
        <f>IF(H77&lt;1,(Data!$G$16+14+0.8*Data!$G$17+Data!$G$18*(1-H77))*(1-H77),(Data!$G$16+6+Data!$G$17*(H77-0.6))*(H77-0.6))</f>
        <v>67.48302748777152</v>
      </c>
      <c r="J77" s="28">
        <f t="shared" si="16"/>
        <v>335.597468575378</v>
      </c>
      <c r="K77" t="str">
        <f t="shared" si="24"/>
        <v>Cut</v>
      </c>
      <c r="L77" s="28">
        <f t="shared" si="25"/>
        <v>335.597468575378</v>
      </c>
      <c r="M77" s="28">
        <f t="shared" si="26"/>
        <v>0</v>
      </c>
      <c r="N77" s="28">
        <f>SUM($L$3:L77)</f>
        <v>47353.02481279445</v>
      </c>
      <c r="O77" s="28">
        <f>SUM($M$3:M77)</f>
        <v>71260.69773647306</v>
      </c>
      <c r="Q77">
        <f>MATCH(C77,Ground!$A$3:$A$1999,1)</f>
        <v>62</v>
      </c>
      <c r="R77">
        <f ca="1">OFFSET(Ground!$A$2,Volume!Q77,0)</f>
        <v>5830</v>
      </c>
      <c r="S77">
        <f ca="1">OFFSET(Ground!$A$2,Volume!Q77,1)</f>
        <v>620.881376</v>
      </c>
      <c r="T77">
        <f ca="1">OFFSET(Ground!$A$2,Volume!Q77+1,0)</f>
        <v>5860</v>
      </c>
      <c r="U77">
        <f ca="1">OFFSET(Ground!$A$2,Volume!Q77+1,1)</f>
        <v>619.873252</v>
      </c>
      <c r="V77" s="26"/>
      <c r="W77">
        <f t="shared" si="20"/>
        <v>14.826868394785958</v>
      </c>
      <c r="X77">
        <f>IF(Volume!W77&lt;'Temp Calcs'!$E$8,1,0)</f>
        <v>0</v>
      </c>
      <c r="Z77">
        <f t="shared" si="21"/>
        <v>-15.434091427233422</v>
      </c>
      <c r="AA77">
        <f>IF(Volume!Z77&gt;'Temp Calcs'!$L$8,1,0)</f>
        <v>0</v>
      </c>
      <c r="AB77" s="8"/>
      <c r="AC77" s="7"/>
    </row>
    <row r="78" spans="1:29" ht="12.75">
      <c r="A78" s="1">
        <v>77</v>
      </c>
      <c r="C78" s="7">
        <f t="shared" si="13"/>
        <v>5845</v>
      </c>
      <c r="D78" s="8">
        <f t="shared" si="11"/>
        <v>619.2109186191844</v>
      </c>
      <c r="E78" s="7">
        <f t="shared" si="12"/>
        <v>-3.851645127111922</v>
      </c>
      <c r="F78" s="7"/>
      <c r="G78">
        <f t="shared" si="22"/>
        <v>620.3773140000001</v>
      </c>
      <c r="H78" s="8">
        <f t="shared" si="23"/>
        <v>-1.1663953808156293</v>
      </c>
      <c r="I78" s="30">
        <f>IF(H78&lt;1,(Data!$G$16+14+0.8*Data!$G$17+Data!$G$18*(1-H78))*(1-H78),(Data!$G$16+6+Data!$G$17*(H78-0.6))*(H78-0.6))</f>
        <v>68.31249225022371</v>
      </c>
      <c r="J78" s="28">
        <f t="shared" si="16"/>
        <v>339.488799344988</v>
      </c>
      <c r="K78" t="str">
        <f t="shared" si="24"/>
        <v>Cut</v>
      </c>
      <c r="L78" s="28">
        <f t="shared" si="25"/>
        <v>339.488799344988</v>
      </c>
      <c r="M78" s="28">
        <f t="shared" si="26"/>
        <v>0</v>
      </c>
      <c r="N78" s="28">
        <f>SUM($L$3:L78)</f>
        <v>47692.51361213944</v>
      </c>
      <c r="O78" s="28">
        <f>SUM($M$3:M78)</f>
        <v>71260.69773647306</v>
      </c>
      <c r="Q78">
        <f>MATCH(C78,Ground!$A$3:$A$1999,1)</f>
        <v>62</v>
      </c>
      <c r="R78">
        <f ca="1">OFFSET(Ground!$A$2,Volume!Q78,0)</f>
        <v>5830</v>
      </c>
      <c r="S78">
        <f ca="1">OFFSET(Ground!$A$2,Volume!Q78,1)</f>
        <v>620.881376</v>
      </c>
      <c r="T78">
        <f ca="1">OFFSET(Ground!$A$2,Volume!Q78+1,0)</f>
        <v>5860</v>
      </c>
      <c r="U78">
        <f ca="1">OFFSET(Ground!$A$2,Volume!Q78+1,1)</f>
        <v>619.873252</v>
      </c>
      <c r="V78" s="26"/>
      <c r="W78">
        <f t="shared" si="20"/>
        <v>14.716222861285495</v>
      </c>
      <c r="X78">
        <f>IF(Volume!W78&lt;'Temp Calcs'!$E$8,1,0)</f>
        <v>0</v>
      </c>
      <c r="Z78">
        <f t="shared" si="21"/>
        <v>-15.329377523746611</v>
      </c>
      <c r="AA78">
        <f>IF(Volume!Z78&gt;'Temp Calcs'!$L$8,1,0)</f>
        <v>0</v>
      </c>
      <c r="AB78" s="8"/>
      <c r="AC78" s="7"/>
    </row>
    <row r="79" spans="1:29" ht="12.75">
      <c r="A79" s="1">
        <v>78</v>
      </c>
      <c r="C79" s="7">
        <f t="shared" si="13"/>
        <v>5850</v>
      </c>
      <c r="D79" s="8">
        <f t="shared" si="11"/>
        <v>619.0169317167961</v>
      </c>
      <c r="E79" s="7">
        <f t="shared" si="12"/>
        <v>-3.907830968423456</v>
      </c>
      <c r="F79" s="7"/>
      <c r="G79">
        <f t="shared" si="22"/>
        <v>620.2092933333333</v>
      </c>
      <c r="H79" s="8">
        <f t="shared" si="23"/>
        <v>-1.192361616537255</v>
      </c>
      <c r="I79" s="30">
        <f>IF(H79&lt;1,(Data!$G$16+14+0.8*Data!$G$17+Data!$G$18*(1-H79))*(1-H79),(Data!$G$16+6+Data!$G$17*(H79-0.6))*(H79-0.6))</f>
        <v>69.24513488514502</v>
      </c>
      <c r="J79" s="28">
        <f t="shared" si="16"/>
        <v>343.89406783842185</v>
      </c>
      <c r="K79" t="str">
        <f t="shared" si="24"/>
        <v>Cut</v>
      </c>
      <c r="L79" s="28">
        <f t="shared" si="25"/>
        <v>343.89406783842185</v>
      </c>
      <c r="M79" s="28">
        <f t="shared" si="26"/>
        <v>0</v>
      </c>
      <c r="N79" s="28">
        <f>SUM($L$3:L79)</f>
        <v>48036.40767997786</v>
      </c>
      <c r="O79" s="28">
        <f>SUM($M$3:M79)</f>
        <v>71260.69773647306</v>
      </c>
      <c r="Q79">
        <f>MATCH(C79,Ground!$A$3:$A$1999,1)</f>
        <v>62</v>
      </c>
      <c r="R79">
        <f ca="1">OFFSET(Ground!$A$2,Volume!Q79,0)</f>
        <v>5830</v>
      </c>
      <c r="S79">
        <f ca="1">OFFSET(Ground!$A$2,Volume!Q79,1)</f>
        <v>620.881376</v>
      </c>
      <c r="T79">
        <f ca="1">OFFSET(Ground!$A$2,Volume!Q79+1,0)</f>
        <v>5860</v>
      </c>
      <c r="U79">
        <f ca="1">OFFSET(Ground!$A$2,Volume!Q79+1,1)</f>
        <v>619.873252</v>
      </c>
      <c r="V79" s="26"/>
      <c r="W79">
        <f t="shared" si="20"/>
        <v>14.605511550349567</v>
      </c>
      <c r="X79">
        <f>IF(Volume!W79&lt;'Temp Calcs'!$E$8,1,0)</f>
        <v>0</v>
      </c>
      <c r="Z79">
        <f t="shared" si="21"/>
        <v>-15.224804644601342</v>
      </c>
      <c r="AA79">
        <f>IF(Volume!Z79&gt;'Temp Calcs'!$L$8,1,0)</f>
        <v>0</v>
      </c>
      <c r="AB79" s="8"/>
      <c r="AC79" s="7"/>
    </row>
    <row r="80" spans="1:29" ht="12.75">
      <c r="A80" s="1">
        <v>79</v>
      </c>
      <c r="C80" s="7">
        <f t="shared" si="13"/>
        <v>5855</v>
      </c>
      <c r="D80" s="8">
        <f t="shared" si="11"/>
        <v>618.8201355223422</v>
      </c>
      <c r="E80" s="7">
        <f t="shared" si="12"/>
        <v>-3.9640168097349893</v>
      </c>
      <c r="F80" s="7"/>
      <c r="G80">
        <f t="shared" si="22"/>
        <v>620.0412726666666</v>
      </c>
      <c r="H80" s="8">
        <f t="shared" si="23"/>
        <v>-1.2211371443244161</v>
      </c>
      <c r="I80" s="30">
        <f>IF(H80&lt;1,(Data!$G$16+14+0.8*Data!$G$17+Data!$G$18*(1-H80))*(1-H80),(Data!$G$16+6+Data!$G$17*(H80-0.6))*(H80-0.6))</f>
        <v>70.28183075341936</v>
      </c>
      <c r="J80" s="28">
        <f t="shared" si="16"/>
        <v>348.81741409641097</v>
      </c>
      <c r="K80" t="str">
        <f t="shared" si="24"/>
        <v>Cut</v>
      </c>
      <c r="L80" s="28">
        <f t="shared" si="25"/>
        <v>348.81741409641097</v>
      </c>
      <c r="M80" s="28">
        <f t="shared" si="26"/>
        <v>0</v>
      </c>
      <c r="N80" s="28">
        <f>SUM($L$3:L80)</f>
        <v>48385.225094074274</v>
      </c>
      <c r="O80" s="28">
        <f>SUM($M$3:M80)</f>
        <v>71260.69773647306</v>
      </c>
      <c r="Q80">
        <f>MATCH(C80,Ground!$A$3:$A$1999,1)</f>
        <v>62</v>
      </c>
      <c r="R80">
        <f ca="1">OFFSET(Ground!$A$2,Volume!Q80,0)</f>
        <v>5830</v>
      </c>
      <c r="S80">
        <f ca="1">OFFSET(Ground!$A$2,Volume!Q80,1)</f>
        <v>620.881376</v>
      </c>
      <c r="T80">
        <f ca="1">OFFSET(Ground!$A$2,Volume!Q80+1,0)</f>
        <v>5860</v>
      </c>
      <c r="U80">
        <f ca="1">OFFSET(Ground!$A$2,Volume!Q80+1,1)</f>
        <v>619.873252</v>
      </c>
      <c r="V80" s="26"/>
      <c r="W80">
        <f t="shared" si="20"/>
        <v>14.494683818899878</v>
      </c>
      <c r="X80">
        <f>IF(Volume!W80&lt;'Temp Calcs'!$E$8,1,0)</f>
        <v>0</v>
      </c>
      <c r="Z80">
        <f t="shared" si="21"/>
        <v>-15.120331118733692</v>
      </c>
      <c r="AA80">
        <f>IF(Volume!Z80&gt;'Temp Calcs'!$L$8,1,0)</f>
        <v>0</v>
      </c>
      <c r="AB80" s="8"/>
      <c r="AC80" s="7"/>
    </row>
    <row r="81" spans="1:29" ht="12.75">
      <c r="A81" s="1">
        <v>80</v>
      </c>
      <c r="C81" s="7">
        <f t="shared" si="13"/>
        <v>5860</v>
      </c>
      <c r="D81" s="8">
        <f t="shared" si="11"/>
        <v>618.6205300358226</v>
      </c>
      <c r="E81" s="7">
        <f t="shared" si="12"/>
        <v>-4.020202651046523</v>
      </c>
      <c r="F81" s="7"/>
      <c r="G81">
        <f t="shared" si="22"/>
        <v>619.873252</v>
      </c>
      <c r="H81" s="8">
        <f t="shared" si="23"/>
        <v>-1.25272196417734</v>
      </c>
      <c r="I81" s="30">
        <f>IF(H81&lt;1,(Data!$G$16+14+0.8*Data!$G$17+Data!$G$18*(1-H81))*(1-H81),(Data!$G$16+6+Data!$G$17*(H81-0.6))*(H81-0.6))</f>
        <v>71.42354992139767</v>
      </c>
      <c r="J81" s="28">
        <f t="shared" si="16"/>
        <v>354.26345168704256</v>
      </c>
      <c r="K81" t="str">
        <f t="shared" si="24"/>
        <v>Cut</v>
      </c>
      <c r="L81" s="28">
        <f t="shared" si="25"/>
        <v>354.26345168704256</v>
      </c>
      <c r="M81" s="28">
        <f t="shared" si="26"/>
        <v>0</v>
      </c>
      <c r="N81" s="28">
        <f>SUM($L$3:L81)</f>
        <v>48739.48854576132</v>
      </c>
      <c r="O81" s="28">
        <f>SUM($M$3:M81)</f>
        <v>71260.69773647306</v>
      </c>
      <c r="Q81">
        <f>MATCH(C81,Ground!$A$3:$A$1999,1)</f>
        <v>63</v>
      </c>
      <c r="R81">
        <f ca="1">OFFSET(Ground!$A$2,Volume!Q81,0)</f>
        <v>5860</v>
      </c>
      <c r="S81">
        <f ca="1">OFFSET(Ground!$A$2,Volume!Q81,1)</f>
        <v>619.873252</v>
      </c>
      <c r="T81">
        <f ca="1">OFFSET(Ground!$A$2,Volume!Q81+1,0)</f>
        <v>5890</v>
      </c>
      <c r="U81">
        <f ca="1">OFFSET(Ground!$A$2,Volume!Q81+1,1)</f>
        <v>618.710977</v>
      </c>
      <c r="V81" s="26"/>
      <c r="W81">
        <f t="shared" si="20"/>
        <v>14.38368683512728</v>
      </c>
      <c r="X81">
        <f>IF(Volume!W81&lt;'Temp Calcs'!$E$8,1,0)</f>
        <v>0</v>
      </c>
      <c r="Z81">
        <f t="shared" si="21"/>
        <v>-15.015913647410812</v>
      </c>
      <c r="AA81">
        <f>IF(Volume!Z81&gt;'Temp Calcs'!$L$8,1,0)</f>
        <v>0</v>
      </c>
      <c r="AB81" s="8"/>
      <c r="AC81" s="7"/>
    </row>
    <row r="82" spans="1:29" ht="12.75">
      <c r="A82" s="1">
        <v>81</v>
      </c>
      <c r="C82" s="7">
        <f t="shared" si="13"/>
        <v>5865</v>
      </c>
      <c r="D82" s="8">
        <f t="shared" si="11"/>
        <v>618.4181152572373</v>
      </c>
      <c r="E82" s="7">
        <f t="shared" si="12"/>
        <v>-4.076388492358056</v>
      </c>
      <c r="F82" s="7"/>
      <c r="G82">
        <f t="shared" si="22"/>
        <v>619.6795394999999</v>
      </c>
      <c r="H82" s="8">
        <f t="shared" si="23"/>
        <v>-1.2614242427625868</v>
      </c>
      <c r="I82" s="30">
        <f>IF(H82&lt;1,(Data!$G$16+14+0.8*Data!$G$17+Data!$G$18*(1-H82))*(1-H82),(Data!$G$16+6+Data!$G$17*(H82-0.6))*(H82-0.6))</f>
        <v>71.73881861465104</v>
      </c>
      <c r="J82" s="28">
        <f t="shared" si="16"/>
        <v>357.9059213401217</v>
      </c>
      <c r="K82" t="str">
        <f t="shared" si="24"/>
        <v>Cut</v>
      </c>
      <c r="L82" s="28">
        <f t="shared" si="25"/>
        <v>357.9059213401217</v>
      </c>
      <c r="M82" s="28">
        <f t="shared" si="26"/>
        <v>0</v>
      </c>
      <c r="N82" s="28">
        <f>SUM($L$3:L82)</f>
        <v>49097.39446710144</v>
      </c>
      <c r="O82" s="28">
        <f>SUM($M$3:M82)</f>
        <v>71260.69773647306</v>
      </c>
      <c r="Q82">
        <f>MATCH(C82,Ground!$A$3:$A$1999,1)</f>
        <v>63</v>
      </c>
      <c r="R82">
        <f ca="1">OFFSET(Ground!$A$2,Volume!Q82,0)</f>
        <v>5860</v>
      </c>
      <c r="S82">
        <f ca="1">OFFSET(Ground!$A$2,Volume!Q82,1)</f>
        <v>619.873252</v>
      </c>
      <c r="T82">
        <f ca="1">OFFSET(Ground!$A$2,Volume!Q82+1,0)</f>
        <v>5890</v>
      </c>
      <c r="U82">
        <f ca="1">OFFSET(Ground!$A$2,Volume!Q82+1,1)</f>
        <v>618.710977</v>
      </c>
      <c r="V82" s="26"/>
      <c r="W82">
        <f t="shared" si="20"/>
        <v>14.27246538476248</v>
      </c>
      <c r="X82">
        <f>IF(Volume!W82&lt;'Temp Calcs'!$E$8,1,0)</f>
        <v>0</v>
      </c>
      <c r="Z82">
        <f t="shared" si="21"/>
        <v>-14.911507154163434</v>
      </c>
      <c r="AA82">
        <f>IF(Volume!Z82&gt;'Temp Calcs'!$L$8,1,0)</f>
        <v>0</v>
      </c>
      <c r="AB82" s="8"/>
      <c r="AC82" s="7"/>
    </row>
    <row r="83" spans="1:29" ht="12.75">
      <c r="A83" s="1">
        <v>82</v>
      </c>
      <c r="C83" s="7">
        <f t="shared" si="13"/>
        <v>5870</v>
      </c>
      <c r="D83" s="8">
        <f t="shared" si="11"/>
        <v>618.2128911865867</v>
      </c>
      <c r="E83" s="7">
        <f t="shared" si="12"/>
        <v>-4.13257433366959</v>
      </c>
      <c r="F83" s="7"/>
      <c r="G83">
        <f t="shared" si="22"/>
        <v>619.485827</v>
      </c>
      <c r="H83" s="8">
        <f t="shared" si="23"/>
        <v>-1.2729358134132553</v>
      </c>
      <c r="I83" s="30">
        <f>IF(H83&lt;1,(Data!$G$16+14+0.8*Data!$G$17+Data!$G$18*(1-H83))*(1-H83),(Data!$G$16+6+Data!$G$17*(H83-0.6))*(H83-0.6))</f>
        <v>72.1563285486337</v>
      </c>
      <c r="J83" s="28">
        <f t="shared" si="16"/>
        <v>359.7378679082118</v>
      </c>
      <c r="K83" t="str">
        <f t="shared" si="24"/>
        <v>Cut</v>
      </c>
      <c r="L83" s="28">
        <f t="shared" si="25"/>
        <v>359.7378679082118</v>
      </c>
      <c r="M83" s="28">
        <f t="shared" si="26"/>
        <v>0</v>
      </c>
      <c r="N83" s="28">
        <f>SUM($L$3:L83)</f>
        <v>49457.13233500965</v>
      </c>
      <c r="O83" s="28">
        <f>SUM($M$3:M83)</f>
        <v>71260.69773647306</v>
      </c>
      <c r="Q83">
        <f>MATCH(C83,Ground!$A$3:$A$1999,1)</f>
        <v>63</v>
      </c>
      <c r="R83">
        <f ca="1">OFFSET(Ground!$A$2,Volume!Q83,0)</f>
        <v>5860</v>
      </c>
      <c r="S83">
        <f ca="1">OFFSET(Ground!$A$2,Volume!Q83,1)</f>
        <v>619.873252</v>
      </c>
      <c r="T83">
        <f ca="1">OFFSET(Ground!$A$2,Volume!Q83+1,0)</f>
        <v>5890</v>
      </c>
      <c r="U83">
        <f ca="1">OFFSET(Ground!$A$2,Volume!Q83+1,1)</f>
        <v>618.710977</v>
      </c>
      <c r="V83" s="26"/>
      <c r="W83">
        <f t="shared" si="20"/>
        <v>14.160961659536616</v>
      </c>
      <c r="X83">
        <f>IF(Volume!W83&lt;'Temp Calcs'!$E$8,1,0)</f>
        <v>0</v>
      </c>
      <c r="Z83">
        <f t="shared" si="21"/>
        <v>-14.80706462107587</v>
      </c>
      <c r="AA83">
        <f>IF(Volume!Z83&gt;'Temp Calcs'!$L$8,1,0)</f>
        <v>0</v>
      </c>
      <c r="AB83" s="8"/>
      <c r="AC83" s="7"/>
    </row>
    <row r="84" spans="1:29" ht="12.75">
      <c r="A84" s="1">
        <v>83</v>
      </c>
      <c r="C84" s="7">
        <f t="shared" si="13"/>
        <v>5875</v>
      </c>
      <c r="D84" s="8">
        <f t="shared" si="11"/>
        <v>618.0048578238705</v>
      </c>
      <c r="E84" s="7">
        <f t="shared" si="12"/>
        <v>-4.188760174981123</v>
      </c>
      <c r="F84" s="7"/>
      <c r="G84">
        <f t="shared" si="22"/>
        <v>619.2921145</v>
      </c>
      <c r="H84" s="8">
        <f t="shared" si="23"/>
        <v>-1.287256676129573</v>
      </c>
      <c r="I84" s="30">
        <f>IF(H84&lt;1,(Data!$G$16+14+0.8*Data!$G$17+Data!$G$18*(1-H84))*(1-H84),(Data!$G$16+6+Data!$G$17*(H84-0.6))*(H84-0.6))</f>
        <v>72.67646779572298</v>
      </c>
      <c r="J84" s="28">
        <f t="shared" si="16"/>
        <v>362.08199086089166</v>
      </c>
      <c r="K84" t="str">
        <f t="shared" si="24"/>
        <v>Cut</v>
      </c>
      <c r="L84" s="28">
        <f t="shared" si="25"/>
        <v>362.08199086089166</v>
      </c>
      <c r="M84" s="28">
        <f t="shared" si="26"/>
        <v>0</v>
      </c>
      <c r="N84" s="28">
        <f>SUM($L$3:L84)</f>
        <v>49819.21432587054</v>
      </c>
      <c r="O84" s="28">
        <f>SUM($M$3:M84)</f>
        <v>71260.69773647306</v>
      </c>
      <c r="Q84">
        <f>MATCH(C84,Ground!$A$3:$A$1999,1)</f>
        <v>63</v>
      </c>
      <c r="R84">
        <f ca="1">OFFSET(Ground!$A$2,Volume!Q84,0)</f>
        <v>5860</v>
      </c>
      <c r="S84">
        <f ca="1">OFFSET(Ground!$A$2,Volume!Q84,1)</f>
        <v>619.873252</v>
      </c>
      <c r="T84">
        <f ca="1">OFFSET(Ground!$A$2,Volume!Q84+1,0)</f>
        <v>5890</v>
      </c>
      <c r="U84">
        <f ca="1">OFFSET(Ground!$A$2,Volume!Q84+1,1)</f>
        <v>618.710977</v>
      </c>
      <c r="V84" s="26"/>
      <c r="W84">
        <f t="shared" si="20"/>
        <v>14.049115025798963</v>
      </c>
      <c r="X84">
        <f>IF(Volume!W84&lt;'Temp Calcs'!$E$8,1,0)</f>
        <v>0</v>
      </c>
      <c r="Z84">
        <f t="shared" si="21"/>
        <v>-14.702536909871625</v>
      </c>
      <c r="AA84">
        <f>IF(Volume!Z84&gt;'Temp Calcs'!$L$8,1,0)</f>
        <v>0</v>
      </c>
      <c r="AB84" s="8"/>
      <c r="AC84" s="7"/>
    </row>
    <row r="85" spans="1:29" ht="12.75">
      <c r="A85" s="1">
        <v>84</v>
      </c>
      <c r="C85" s="7">
        <f t="shared" si="13"/>
        <v>5880</v>
      </c>
      <c r="D85" s="8">
        <f t="shared" si="11"/>
        <v>617.7940151690887</v>
      </c>
      <c r="E85" s="7">
        <f t="shared" si="12"/>
        <v>-4.2449460162926576</v>
      </c>
      <c r="F85" s="7"/>
      <c r="G85">
        <f t="shared" si="22"/>
        <v>619.098402</v>
      </c>
      <c r="H85" s="8">
        <f t="shared" si="23"/>
        <v>-1.3043868309113122</v>
      </c>
      <c r="I85" s="30">
        <f>IF(H85&lt;1,(Data!$G$16+14+0.8*Data!$G$17+Data!$G$18*(1-H85))*(1-H85),(Data!$G$16+6+Data!$G$17*(H85-0.6))*(H85-0.6))</f>
        <v>73.29971913374266</v>
      </c>
      <c r="J85" s="28">
        <f t="shared" si="16"/>
        <v>364.94046732366417</v>
      </c>
      <c r="K85" t="str">
        <f t="shared" si="24"/>
        <v>Cut</v>
      </c>
      <c r="L85" s="28">
        <f t="shared" si="25"/>
        <v>364.94046732366417</v>
      </c>
      <c r="M85" s="28">
        <f t="shared" si="26"/>
        <v>0</v>
      </c>
      <c r="N85" s="28">
        <f>SUM($L$3:L85)</f>
        <v>50184.154793194204</v>
      </c>
      <c r="O85" s="28">
        <f>SUM($M$3:M85)</f>
        <v>71260.69773647306</v>
      </c>
      <c r="Q85">
        <f>MATCH(C85,Ground!$A$3:$A$1999,1)</f>
        <v>63</v>
      </c>
      <c r="R85">
        <f ca="1">OFFSET(Ground!$A$2,Volume!Q85,0)</f>
        <v>5860</v>
      </c>
      <c r="S85">
        <f ca="1">OFFSET(Ground!$A$2,Volume!Q85,1)</f>
        <v>619.873252</v>
      </c>
      <c r="T85">
        <f ca="1">OFFSET(Ground!$A$2,Volume!Q85+1,0)</f>
        <v>5890</v>
      </c>
      <c r="U85">
        <f ca="1">OFFSET(Ground!$A$2,Volume!Q85+1,1)</f>
        <v>618.710977</v>
      </c>
      <c r="V85" s="26"/>
      <c r="W85">
        <f t="shared" si="20"/>
        <v>13.936861770987568</v>
      </c>
      <c r="X85">
        <f>IF(Volume!W85&lt;'Temp Calcs'!$E$8,1,0)</f>
        <v>0</v>
      </c>
      <c r="Z85">
        <f t="shared" si="21"/>
        <v>-14.597872566022746</v>
      </c>
      <c r="AA85">
        <f>IF(Volume!Z85&gt;'Temp Calcs'!$L$8,1,0)</f>
        <v>0</v>
      </c>
      <c r="AB85" s="8"/>
      <c r="AC85" s="7"/>
    </row>
    <row r="86" spans="1:29" ht="12.75">
      <c r="A86" s="1">
        <v>85</v>
      </c>
      <c r="C86" s="7">
        <f t="shared" si="13"/>
        <v>5885</v>
      </c>
      <c r="D86" s="8">
        <f t="shared" si="11"/>
        <v>617.5803632222412</v>
      </c>
      <c r="E86" s="7">
        <f t="shared" si="12"/>
        <v>-4.301131857604191</v>
      </c>
      <c r="F86" s="7"/>
      <c r="G86">
        <f t="shared" si="22"/>
        <v>618.9046894999999</v>
      </c>
      <c r="H86" s="8">
        <f t="shared" si="23"/>
        <v>-1.3243262777587006</v>
      </c>
      <c r="I86" s="30">
        <f>IF(H86&lt;1,(Data!$G$16+14+0.8*Data!$G$17+Data!$G$18*(1-H86))*(1-H86),(Data!$G$16+6+Data!$G$17*(H86-0.6))*(H86-0.6))</f>
        <v>74.02666004599588</v>
      </c>
      <c r="J86" s="28">
        <f t="shared" si="16"/>
        <v>368.3159479493463</v>
      </c>
      <c r="K86" t="str">
        <f t="shared" si="24"/>
        <v>Cut</v>
      </c>
      <c r="L86" s="28">
        <f t="shared" si="25"/>
        <v>368.3159479493463</v>
      </c>
      <c r="M86" s="28">
        <f t="shared" si="26"/>
        <v>0</v>
      </c>
      <c r="N86" s="28">
        <f>SUM($L$3:L86)</f>
        <v>50552.47074114355</v>
      </c>
      <c r="O86" s="28">
        <f>SUM($M$3:M86)</f>
        <v>71260.69773647306</v>
      </c>
      <c r="Q86">
        <f>MATCH(C86,Ground!$A$3:$A$1999,1)</f>
        <v>63</v>
      </c>
      <c r="R86">
        <f ca="1">OFFSET(Ground!$A$2,Volume!Q86,0)</f>
        <v>5860</v>
      </c>
      <c r="S86">
        <f ca="1">OFFSET(Ground!$A$2,Volume!Q86,1)</f>
        <v>619.873252</v>
      </c>
      <c r="T86">
        <f ca="1">OFFSET(Ground!$A$2,Volume!Q86+1,0)</f>
        <v>5890</v>
      </c>
      <c r="U86">
        <f ca="1">OFFSET(Ground!$A$2,Volume!Q86+1,1)</f>
        <v>618.710977</v>
      </c>
      <c r="V86" s="26"/>
      <c r="W86">
        <f t="shared" si="20"/>
        <v>13.82413482534928</v>
      </c>
      <c r="X86">
        <f>IF(Volume!W86&lt;'Temp Calcs'!$E$8,1,0)</f>
        <v>0</v>
      </c>
      <c r="Z86">
        <f t="shared" si="21"/>
        <v>-14.493017603883175</v>
      </c>
      <c r="AA86">
        <f>IF(Volume!Z86&gt;'Temp Calcs'!$L$8,1,0)</f>
        <v>0</v>
      </c>
      <c r="AB86" s="8"/>
      <c r="AC86" s="7"/>
    </row>
    <row r="87" spans="1:29" ht="12.75">
      <c r="A87" s="1">
        <v>86</v>
      </c>
      <c r="C87" s="7">
        <f t="shared" si="13"/>
        <v>5890</v>
      </c>
      <c r="D87" s="8">
        <f t="shared" si="11"/>
        <v>617.3639019833282</v>
      </c>
      <c r="E87" s="7">
        <f t="shared" si="12"/>
        <v>-4.3573176989157245</v>
      </c>
      <c r="F87" s="7"/>
      <c r="G87">
        <f t="shared" si="22"/>
        <v>618.710977</v>
      </c>
      <c r="H87" s="8">
        <f t="shared" si="23"/>
        <v>-1.347075016671738</v>
      </c>
      <c r="I87" s="30">
        <f>IF(H87&lt;1,(Data!$G$16+14+0.8*Data!$G$17+Data!$G$18*(1-H87))*(1-H87),(Data!$G$16+6+Data!$G$17*(H87-0.6))*(H87-0.6))</f>
        <v>74.85796272124055</v>
      </c>
      <c r="J87" s="28">
        <f t="shared" si="16"/>
        <v>372.2115569180911</v>
      </c>
      <c r="K87" t="str">
        <f t="shared" si="24"/>
        <v>Cut</v>
      </c>
      <c r="L87" s="28">
        <f t="shared" si="25"/>
        <v>372.2115569180911</v>
      </c>
      <c r="M87" s="28">
        <f t="shared" si="26"/>
        <v>0</v>
      </c>
      <c r="N87" s="28">
        <f>SUM($L$3:L87)</f>
        <v>50924.68229806164</v>
      </c>
      <c r="O87" s="28">
        <f>SUM($M$3:M87)</f>
        <v>71260.69773647306</v>
      </c>
      <c r="Q87">
        <f>MATCH(C87,Ground!$A$3:$A$1999,1)</f>
        <v>64</v>
      </c>
      <c r="R87">
        <f ca="1">OFFSET(Ground!$A$2,Volume!Q87,0)</f>
        <v>5890</v>
      </c>
      <c r="S87">
        <f ca="1">OFFSET(Ground!$A$2,Volume!Q87,1)</f>
        <v>618.710977</v>
      </c>
      <c r="T87">
        <f ca="1">OFFSET(Ground!$A$2,Volume!Q87+1,0)</f>
        <v>5920</v>
      </c>
      <c r="U87">
        <f ca="1">OFFSET(Ground!$A$2,Volume!Q87+1,1)</f>
        <v>617.42336</v>
      </c>
      <c r="V87" s="26"/>
      <c r="W87">
        <f t="shared" si="20"/>
        <v>13.710863455946921</v>
      </c>
      <c r="X87">
        <f>IF(Volume!W87&lt;'Temp Calcs'!$E$8,1,0)</f>
        <v>0</v>
      </c>
      <c r="Z87">
        <f t="shared" si="21"/>
        <v>-14.387915270569211</v>
      </c>
      <c r="AA87">
        <f>IF(Volume!Z87&gt;'Temp Calcs'!$L$8,1,0)</f>
        <v>0</v>
      </c>
      <c r="AB87" s="8"/>
      <c r="AC87" s="7"/>
    </row>
    <row r="88" spans="1:29" ht="12.75">
      <c r="A88" s="1">
        <v>87</v>
      </c>
      <c r="C88" s="7">
        <f t="shared" si="13"/>
        <v>5895</v>
      </c>
      <c r="D88" s="8">
        <f t="shared" si="11"/>
        <v>617.1446314523497</v>
      </c>
      <c r="E88" s="7">
        <f t="shared" si="12"/>
        <v>-4.413503540227258</v>
      </c>
      <c r="F88" s="7"/>
      <c r="G88">
        <f t="shared" si="22"/>
        <v>618.4963741666667</v>
      </c>
      <c r="H88" s="8">
        <f t="shared" si="23"/>
        <v>-1.3517427143169698</v>
      </c>
      <c r="I88" s="30">
        <f>IF(H88&lt;1,(Data!$G$16+14+0.8*Data!$G$17+Data!$G$18*(1-H88))*(1-H88),(Data!$G$16+6+Data!$G$17*(H88-0.6))*(H88-0.6))</f>
        <v>75.02878941810748</v>
      </c>
      <c r="J88" s="28">
        <f t="shared" si="16"/>
        <v>374.71688034837007</v>
      </c>
      <c r="K88" t="str">
        <f t="shared" si="24"/>
        <v>Cut</v>
      </c>
      <c r="L88" s="28">
        <f t="shared" si="25"/>
        <v>374.71688034837007</v>
      </c>
      <c r="M88" s="28">
        <f t="shared" si="26"/>
        <v>0</v>
      </c>
      <c r="N88" s="28">
        <f>SUM($L$3:L88)</f>
        <v>51299.399178410014</v>
      </c>
      <c r="O88" s="28">
        <f>SUM($M$3:M88)</f>
        <v>71260.69773647306</v>
      </c>
      <c r="Q88">
        <f>MATCH(C88,Ground!$A$3:$A$1999,1)</f>
        <v>64</v>
      </c>
      <c r="R88">
        <f ca="1">OFFSET(Ground!$A$2,Volume!Q88,0)</f>
        <v>5890</v>
      </c>
      <c r="S88">
        <f ca="1">OFFSET(Ground!$A$2,Volume!Q88,1)</f>
        <v>618.710977</v>
      </c>
      <c r="T88">
        <f ca="1">OFFSET(Ground!$A$2,Volume!Q88+1,0)</f>
        <v>5920</v>
      </c>
      <c r="U88">
        <f ca="1">OFFSET(Ground!$A$2,Volume!Q88+1,1)</f>
        <v>617.42336</v>
      </c>
      <c r="V88" s="26"/>
      <c r="W88">
        <f t="shared" si="20"/>
        <v>13.596972929587228</v>
      </c>
      <c r="X88">
        <f>IF(Volume!W88&lt;'Temp Calcs'!$E$8,1,0)</f>
        <v>0</v>
      </c>
      <c r="Z88">
        <f t="shared" si="21"/>
        <v>-14.28250578600102</v>
      </c>
      <c r="AA88">
        <f>IF(Volume!Z88&gt;'Temp Calcs'!$L$8,1,0)</f>
        <v>0</v>
      </c>
      <c r="AB88" s="8"/>
      <c r="AC88" s="7"/>
    </row>
    <row r="89" spans="1:29" ht="12.75">
      <c r="A89" s="1">
        <v>88</v>
      </c>
      <c r="C89" s="7">
        <f t="shared" si="13"/>
        <v>5900</v>
      </c>
      <c r="D89" s="8">
        <f t="shared" si="11"/>
        <v>616.9225516293055</v>
      </c>
      <c r="E89" s="7">
        <f t="shared" si="12"/>
        <v>-4.4696893815387915</v>
      </c>
      <c r="F89" s="7"/>
      <c r="G89">
        <f t="shared" si="22"/>
        <v>618.2817713333333</v>
      </c>
      <c r="H89" s="8">
        <f t="shared" si="23"/>
        <v>-1.359219704027737</v>
      </c>
      <c r="I89" s="30">
        <f>IF(H89&lt;1,(Data!$G$16+14+0.8*Data!$G$17+Data!$G$18*(1-H89))*(1-H89),(Data!$G$16+6+Data!$G$17*(H89-0.6))*(H89-0.6))</f>
        <v>75.3026111732999</v>
      </c>
      <c r="J89" s="28">
        <f t="shared" si="16"/>
        <v>375.82850147851843</v>
      </c>
      <c r="K89" t="str">
        <f t="shared" si="24"/>
        <v>Cut</v>
      </c>
      <c r="L89" s="28">
        <f t="shared" si="25"/>
        <v>375.82850147851843</v>
      </c>
      <c r="M89" s="28">
        <f t="shared" si="26"/>
        <v>0</v>
      </c>
      <c r="N89" s="28">
        <f>SUM($L$3:L89)</f>
        <v>51675.227679888536</v>
      </c>
      <c r="O89" s="28">
        <f>SUM($M$3:M89)</f>
        <v>71260.69773647306</v>
      </c>
      <c r="Q89">
        <f>MATCH(C89,Ground!$A$3:$A$1999,1)</f>
        <v>64</v>
      </c>
      <c r="R89">
        <f ca="1">OFFSET(Ground!$A$2,Volume!Q89,0)</f>
        <v>5890</v>
      </c>
      <c r="S89">
        <f ca="1">OFFSET(Ground!$A$2,Volume!Q89,1)</f>
        <v>618.710977</v>
      </c>
      <c r="T89">
        <f ca="1">OFFSET(Ground!$A$2,Volume!Q89+1,0)</f>
        <v>5920</v>
      </c>
      <c r="U89">
        <f ca="1">OFFSET(Ground!$A$2,Volume!Q89+1,1)</f>
        <v>617.42336</v>
      </c>
      <c r="V89" s="26"/>
      <c r="W89">
        <f t="shared" si="20"/>
        <v>13.48238414082858</v>
      </c>
      <c r="X89">
        <f>IF(Volume!W89&lt;'Temp Calcs'!$E$8,1,0)</f>
        <v>0</v>
      </c>
      <c r="Z89">
        <f t="shared" si="21"/>
        <v>-14.176726056153857</v>
      </c>
      <c r="AA89">
        <f>IF(Volume!Z89&gt;'Temp Calcs'!$L$8,1,0)</f>
        <v>0</v>
      </c>
      <c r="AB89" s="8"/>
      <c r="AC89" s="7"/>
    </row>
    <row r="90" spans="1:29" ht="12.75">
      <c r="A90" s="1">
        <v>89</v>
      </c>
      <c r="C90" s="7">
        <f t="shared" si="13"/>
        <v>5905</v>
      </c>
      <c r="D90" s="8">
        <f t="shared" si="11"/>
        <v>616.6976625141958</v>
      </c>
      <c r="E90" s="7">
        <f t="shared" si="12"/>
        <v>-4.525875222850326</v>
      </c>
      <c r="F90" s="7"/>
      <c r="G90">
        <f t="shared" si="22"/>
        <v>618.0671685</v>
      </c>
      <c r="H90" s="8">
        <f t="shared" si="23"/>
        <v>-1.3695059858041532</v>
      </c>
      <c r="I90" s="30">
        <f>IF(H90&lt;1,(Data!$G$16+14+0.8*Data!$G$17+Data!$G$18*(1-H90))*(1-H90),(Data!$G$16+6+Data!$G$17*(H90-0.6))*(H90-0.6))</f>
        <v>75.67968004739639</v>
      </c>
      <c r="J90" s="28">
        <f t="shared" si="16"/>
        <v>377.4557280517407</v>
      </c>
      <c r="K90" t="str">
        <f t="shared" si="24"/>
        <v>Cut</v>
      </c>
      <c r="L90" s="28">
        <f t="shared" si="25"/>
        <v>377.4557280517407</v>
      </c>
      <c r="M90" s="28">
        <f t="shared" si="26"/>
        <v>0</v>
      </c>
      <c r="N90" s="28">
        <f>SUM($L$3:L90)</f>
        <v>52052.683407940276</v>
      </c>
      <c r="O90" s="28">
        <f>SUM($M$3:M90)</f>
        <v>71260.69773647306</v>
      </c>
      <c r="Q90">
        <f>MATCH(C90,Ground!$A$3:$A$1999,1)</f>
        <v>64</v>
      </c>
      <c r="R90">
        <f ca="1">OFFSET(Ground!$A$2,Volume!Q90,0)</f>
        <v>5890</v>
      </c>
      <c r="S90">
        <f ca="1">OFFSET(Ground!$A$2,Volume!Q90,1)</f>
        <v>618.710977</v>
      </c>
      <c r="T90">
        <f ca="1">OFFSET(Ground!$A$2,Volume!Q90+1,0)</f>
        <v>5920</v>
      </c>
      <c r="U90">
        <f ca="1">OFFSET(Ground!$A$2,Volume!Q90+1,1)</f>
        <v>617.42336</v>
      </c>
      <c r="V90" s="26"/>
      <c r="W90">
        <f t="shared" si="20"/>
        <v>13.36701320068</v>
      </c>
      <c r="X90">
        <f>IF(Volume!W90&lt;'Temp Calcs'!$E$8,1,0)</f>
        <v>0</v>
      </c>
      <c r="Z90">
        <f t="shared" si="21"/>
        <v>-14.070509356147568</v>
      </c>
      <c r="AA90">
        <f>IF(Volume!Z90&gt;'Temp Calcs'!$L$8,1,0)</f>
        <v>0</v>
      </c>
      <c r="AB90" s="8"/>
      <c r="AC90" s="7"/>
    </row>
    <row r="91" spans="1:29" ht="12.75">
      <c r="A91" s="1">
        <v>90</v>
      </c>
      <c r="C91" s="7">
        <f t="shared" si="13"/>
        <v>5910</v>
      </c>
      <c r="D91" s="8">
        <f t="shared" si="11"/>
        <v>616.4699641070205</v>
      </c>
      <c r="E91" s="7">
        <f t="shared" si="12"/>
        <v>-4.582061064161859</v>
      </c>
      <c r="F91" s="7"/>
      <c r="G91">
        <f t="shared" si="22"/>
        <v>617.8525656666667</v>
      </c>
      <c r="H91" s="8">
        <f t="shared" si="23"/>
        <v>-1.3826015596462184</v>
      </c>
      <c r="I91" s="30">
        <f>IF(H91&lt;1,(Data!$G$16+14+0.8*Data!$G$17+Data!$G$18*(1-H91))*(1-H91),(Data!$G$16+6+Data!$G$17*(H91-0.6))*(H91-0.6))</f>
        <v>76.16034280643433</v>
      </c>
      <c r="J91" s="28">
        <f t="shared" si="16"/>
        <v>379.6000571345768</v>
      </c>
      <c r="K91" t="str">
        <f t="shared" si="24"/>
        <v>Cut</v>
      </c>
      <c r="L91" s="28">
        <f t="shared" si="25"/>
        <v>379.6000571345768</v>
      </c>
      <c r="M91" s="28">
        <f t="shared" si="26"/>
        <v>0</v>
      </c>
      <c r="N91" s="28">
        <f>SUM($L$3:L91)</f>
        <v>52432.283465074855</v>
      </c>
      <c r="O91" s="28">
        <f>SUM($M$3:M91)</f>
        <v>71260.69773647306</v>
      </c>
      <c r="Q91">
        <f>MATCH(C91,Ground!$A$3:$A$1999,1)</f>
        <v>64</v>
      </c>
      <c r="R91">
        <f ca="1">OFFSET(Ground!$A$2,Volume!Q91,0)</f>
        <v>5890</v>
      </c>
      <c r="S91">
        <f ca="1">OFFSET(Ground!$A$2,Volume!Q91,1)</f>
        <v>618.710977</v>
      </c>
      <c r="T91">
        <f ca="1">OFFSET(Ground!$A$2,Volume!Q91+1,0)</f>
        <v>5920</v>
      </c>
      <c r="U91">
        <f ca="1">OFFSET(Ground!$A$2,Volume!Q91+1,1)</f>
        <v>617.42336</v>
      </c>
      <c r="V91" s="26"/>
      <c r="W91">
        <f t="shared" si="20"/>
        <v>13.250770980965632</v>
      </c>
      <c r="X91">
        <f>IF(Volume!W91&lt;'Temp Calcs'!$E$8,1,0)</f>
        <v>0</v>
      </c>
      <c r="Z91">
        <f t="shared" si="21"/>
        <v>-13.963784979313631</v>
      </c>
      <c r="AA91">
        <f>IF(Volume!Z91&gt;'Temp Calcs'!$L$8,1,0)</f>
        <v>0</v>
      </c>
      <c r="AB91" s="8"/>
      <c r="AC91" s="7"/>
    </row>
    <row r="92" spans="1:29" ht="12.75">
      <c r="A92" s="1">
        <v>91</v>
      </c>
      <c r="C92" s="7">
        <f t="shared" si="13"/>
        <v>5915</v>
      </c>
      <c r="D92" s="8">
        <f t="shared" si="11"/>
        <v>616.2394564077796</v>
      </c>
      <c r="E92" s="7">
        <f t="shared" si="12"/>
        <v>-4.638246905473393</v>
      </c>
      <c r="F92" s="7"/>
      <c r="G92">
        <f t="shared" si="22"/>
        <v>617.6379628333333</v>
      </c>
      <c r="H92" s="8">
        <f t="shared" si="23"/>
        <v>-1.3985064255537054</v>
      </c>
      <c r="I92" s="30">
        <f>IF(H92&lt;1,(Data!$G$16+14+0.8*Data!$G$17+Data!$G$18*(1-H92))*(1-H92),(Data!$G$16+6+Data!$G$17*(H92-0.6))*(H92-0.6))</f>
        <v>76.74504092190561</v>
      </c>
      <c r="J92" s="28">
        <f t="shared" si="16"/>
        <v>382.26345932084985</v>
      </c>
      <c r="K92" t="str">
        <f t="shared" si="24"/>
        <v>Cut</v>
      </c>
      <c r="L92" s="28">
        <f t="shared" si="25"/>
        <v>382.26345932084985</v>
      </c>
      <c r="M92" s="28">
        <f t="shared" si="26"/>
        <v>0</v>
      </c>
      <c r="N92" s="28">
        <f>SUM($L$3:L92)</f>
        <v>52814.546924395705</v>
      </c>
      <c r="O92" s="28">
        <f>SUM($M$3:M92)</f>
        <v>71260.69773647306</v>
      </c>
      <c r="Q92">
        <f>MATCH(C92,Ground!$A$3:$A$1999,1)</f>
        <v>64</v>
      </c>
      <c r="R92">
        <f ca="1">OFFSET(Ground!$A$2,Volume!Q92,0)</f>
        <v>5890</v>
      </c>
      <c r="S92">
        <f ca="1">OFFSET(Ground!$A$2,Volume!Q92,1)</f>
        <v>618.710977</v>
      </c>
      <c r="T92">
        <f ca="1">OFFSET(Ground!$A$2,Volume!Q92+1,0)</f>
        <v>5920</v>
      </c>
      <c r="U92">
        <f ca="1">OFFSET(Ground!$A$2,Volume!Q92+1,1)</f>
        <v>617.42336</v>
      </c>
      <c r="V92" s="26"/>
      <c r="W92">
        <f t="shared" si="20"/>
        <v>13.133562608581952</v>
      </c>
      <c r="X92">
        <f>IF(Volume!W92&lt;'Temp Calcs'!$E$8,1,0)</f>
        <v>0</v>
      </c>
      <c r="Z92">
        <f t="shared" si="21"/>
        <v>-13.856477847804847</v>
      </c>
      <c r="AA92">
        <f>IF(Volume!Z92&gt;'Temp Calcs'!$L$8,1,0)</f>
        <v>0</v>
      </c>
      <c r="AB92" s="8"/>
      <c r="AC92" s="7"/>
    </row>
    <row r="93" spans="1:29" ht="12.75">
      <c r="A93" s="1">
        <v>92</v>
      </c>
      <c r="C93" s="7">
        <f t="shared" si="13"/>
        <v>5920</v>
      </c>
      <c r="D93" s="8">
        <f t="shared" si="11"/>
        <v>616.0061394164732</v>
      </c>
      <c r="E93" s="7">
        <f t="shared" si="12"/>
        <v>-4.694432746784926</v>
      </c>
      <c r="F93" s="7"/>
      <c r="G93">
        <f t="shared" si="22"/>
        <v>617.42336</v>
      </c>
      <c r="H93" s="8">
        <f t="shared" si="23"/>
        <v>-1.4172205835268414</v>
      </c>
      <c r="I93" s="30">
        <f>IF(H93&lt;1,(Data!$G$16+14+0.8*Data!$G$17+Data!$G$18*(1-H93))*(1-H93),(Data!$G$16+6+Data!$G$17*(H93-0.6))*(H93-0.6))</f>
        <v>77.43431057078178</v>
      </c>
      <c r="J93" s="28">
        <f t="shared" si="16"/>
        <v>385.44837873171844</v>
      </c>
      <c r="K93" t="str">
        <f t="shared" si="24"/>
        <v>Cut</v>
      </c>
      <c r="L93" s="28">
        <f t="shared" si="25"/>
        <v>385.44837873171844</v>
      </c>
      <c r="M93" s="28">
        <f t="shared" si="26"/>
        <v>0</v>
      </c>
      <c r="N93" s="28">
        <f>SUM($L$3:L93)</f>
        <v>53199.99530312742</v>
      </c>
      <c r="O93" s="28">
        <f>SUM($M$3:M93)</f>
        <v>71260.69773647306</v>
      </c>
      <c r="Q93">
        <f>MATCH(C93,Ground!$A$3:$A$1999,1)</f>
        <v>65</v>
      </c>
      <c r="R93">
        <f ca="1">OFFSET(Ground!$A$2,Volume!Q93,0)</f>
        <v>5920</v>
      </c>
      <c r="S93">
        <f ca="1">OFFSET(Ground!$A$2,Volume!Q93,1)</f>
        <v>617.42336</v>
      </c>
      <c r="T93">
        <f ca="1">OFFSET(Ground!$A$2,Volume!Q93+1,0)</f>
        <v>5950</v>
      </c>
      <c r="U93">
        <f ca="1">OFFSET(Ground!$A$2,Volume!Q93+1,1)</f>
        <v>615.962</v>
      </c>
      <c r="V93" s="26"/>
      <c r="W93">
        <f t="shared" si="20"/>
        <v>13.015286903006407</v>
      </c>
      <c r="X93">
        <f>IF(Volume!W93&lt;'Temp Calcs'!$E$8,1,0)</f>
        <v>0</v>
      </c>
      <c r="Z93">
        <f t="shared" si="21"/>
        <v>-13.748508079646362</v>
      </c>
      <c r="AA93">
        <f>IF(Volume!Z93&gt;'Temp Calcs'!$L$8,1,0)</f>
        <v>0</v>
      </c>
      <c r="AB93" s="8"/>
      <c r="AC93" s="7"/>
    </row>
    <row r="94" spans="1:29" ht="12.75">
      <c r="A94" s="1">
        <v>93</v>
      </c>
      <c r="C94" s="7">
        <f t="shared" si="13"/>
        <v>5925</v>
      </c>
      <c r="D94" s="8">
        <f t="shared" si="11"/>
        <v>615.7700131331011</v>
      </c>
      <c r="E94" s="7">
        <f t="shared" si="12"/>
        <v>-4.75061858809646</v>
      </c>
      <c r="F94" s="7"/>
      <c r="G94">
        <f t="shared" si="22"/>
        <v>617.1798</v>
      </c>
      <c r="H94" s="8">
        <f t="shared" si="23"/>
        <v>-1.4097868668989122</v>
      </c>
      <c r="I94" s="30">
        <f>IF(H94&lt;1,(Data!$G$16+14+0.8*Data!$G$17+Data!$G$18*(1-H94))*(1-H94),(Data!$G$16+6+Data!$G$17*(H94-0.6))*(H94-0.6))</f>
        <v>77.16034826740737</v>
      </c>
      <c r="J94" s="28">
        <f t="shared" si="16"/>
        <v>386.4866470954729</v>
      </c>
      <c r="K94" t="str">
        <f t="shared" si="24"/>
        <v>Cut</v>
      </c>
      <c r="L94" s="28">
        <f t="shared" si="25"/>
        <v>386.4866470954729</v>
      </c>
      <c r="M94" s="28">
        <f t="shared" si="26"/>
        <v>0</v>
      </c>
      <c r="N94" s="28">
        <f>SUM($L$3:L94)</f>
        <v>53586.48195022289</v>
      </c>
      <c r="O94" s="28">
        <f>SUM($M$3:M94)</f>
        <v>71260.69773647306</v>
      </c>
      <c r="Q94">
        <f>MATCH(C94,Ground!$A$3:$A$1999,1)</f>
        <v>65</v>
      </c>
      <c r="R94">
        <f ca="1">OFFSET(Ground!$A$2,Volume!Q94,0)</f>
        <v>5920</v>
      </c>
      <c r="S94">
        <f ca="1">OFFSET(Ground!$A$2,Volume!Q94,1)</f>
        <v>617.42336</v>
      </c>
      <c r="T94">
        <f ca="1">OFFSET(Ground!$A$2,Volume!Q94+1,0)</f>
        <v>5950</v>
      </c>
      <c r="U94">
        <f ca="1">OFFSET(Ground!$A$2,Volume!Q94+1,1)</f>
        <v>615.962</v>
      </c>
      <c r="V94" s="26"/>
      <c r="W94">
        <f t="shared" si="20"/>
        <v>12.895835749391539</v>
      </c>
      <c r="X94">
        <f>IF(Volume!W94&lt;'Temp Calcs'!$E$8,1,0)</f>
        <v>0</v>
      </c>
      <c r="Z94">
        <f t="shared" si="21"/>
        <v>-13.639790506339274</v>
      </c>
      <c r="AA94">
        <f>IF(Volume!Z94&gt;'Temp Calcs'!$L$8,1,0)</f>
        <v>0</v>
      </c>
      <c r="AB94" s="8"/>
      <c r="AC94" s="7"/>
    </row>
    <row r="95" spans="1:29" ht="12.75">
      <c r="A95" s="1">
        <v>94</v>
      </c>
      <c r="C95" s="7">
        <f t="shared" si="13"/>
        <v>5930</v>
      </c>
      <c r="D95" s="8">
        <f t="shared" si="11"/>
        <v>615.5310775576635</v>
      </c>
      <c r="E95" s="7">
        <f t="shared" si="12"/>
        <v>-4.806804429407993</v>
      </c>
      <c r="F95" s="7"/>
      <c r="G95">
        <f t="shared" si="22"/>
        <v>616.93624</v>
      </c>
      <c r="H95" s="8">
        <f t="shared" si="23"/>
        <v>-1.4051624423365183</v>
      </c>
      <c r="I95" s="30">
        <f>IF(H95&lt;1,(Data!$G$16+14+0.8*Data!$G$17+Data!$G$18*(1-H95))*(1-H95),(Data!$G$16+6+Data!$G$17*(H95-0.6))*(H95-0.6))</f>
        <v>76.99003117960564</v>
      </c>
      <c r="J95" s="28">
        <f t="shared" si="16"/>
        <v>385.37594861753246</v>
      </c>
      <c r="K95" t="str">
        <f t="shared" si="24"/>
        <v>Cut</v>
      </c>
      <c r="L95" s="28">
        <f t="shared" si="25"/>
        <v>385.37594861753246</v>
      </c>
      <c r="M95" s="28">
        <f t="shared" si="26"/>
        <v>0</v>
      </c>
      <c r="N95" s="28">
        <f>SUM($L$3:L95)</f>
        <v>53971.857898840426</v>
      </c>
      <c r="O95" s="28">
        <f>SUM($M$3:M95)</f>
        <v>71260.69773647306</v>
      </c>
      <c r="Q95">
        <f>MATCH(C95,Ground!$A$3:$A$1999,1)</f>
        <v>65</v>
      </c>
      <c r="R95">
        <f ca="1">OFFSET(Ground!$A$2,Volume!Q95,0)</f>
        <v>5920</v>
      </c>
      <c r="S95">
        <f ca="1">OFFSET(Ground!$A$2,Volume!Q95,1)</f>
        <v>617.42336</v>
      </c>
      <c r="T95">
        <f ca="1">OFFSET(Ground!$A$2,Volume!Q95+1,0)</f>
        <v>5950</v>
      </c>
      <c r="U95">
        <f ca="1">OFFSET(Ground!$A$2,Volume!Q95+1,1)</f>
        <v>615.962</v>
      </c>
      <c r="V95" s="26"/>
      <c r="W95">
        <f t="shared" si="20"/>
        <v>12.775093398376775</v>
      </c>
      <c r="X95">
        <f>IF(Volume!W95&lt;'Temp Calcs'!$E$8,1,0)</f>
        <v>0</v>
      </c>
      <c r="Z95">
        <f t="shared" si="21"/>
        <v>-13.530234134205163</v>
      </c>
      <c r="AA95">
        <f>IF(Volume!Z95&gt;'Temp Calcs'!$L$8,1,0)</f>
        <v>0</v>
      </c>
      <c r="AB95" s="8"/>
      <c r="AC95" s="7"/>
    </row>
    <row r="96" spans="1:29" ht="12.75">
      <c r="A96" s="1">
        <v>95</v>
      </c>
      <c r="C96" s="7">
        <f t="shared" si="13"/>
        <v>5935</v>
      </c>
      <c r="D96" s="8">
        <f t="shared" si="11"/>
        <v>615.2893326901602</v>
      </c>
      <c r="E96" s="7">
        <f t="shared" si="12"/>
        <v>-4.862990270719527</v>
      </c>
      <c r="F96" s="7"/>
      <c r="G96">
        <f t="shared" si="22"/>
        <v>616.69268</v>
      </c>
      <c r="H96" s="8">
        <f t="shared" si="23"/>
        <v>-1.4033473098397735</v>
      </c>
      <c r="I96" s="30">
        <f>IF(H96&lt;1,(Data!$G$16+14+0.8*Data!$G$17+Data!$G$18*(1-H96))*(1-H96),(Data!$G$16+6+Data!$G$17*(H96-0.6))*(H96-0.6))</f>
        <v>76.92320341107</v>
      </c>
      <c r="J96" s="28">
        <f t="shared" si="16"/>
        <v>384.7830864766891</v>
      </c>
      <c r="K96" t="str">
        <f t="shared" si="24"/>
        <v>Cut</v>
      </c>
      <c r="L96" s="28">
        <f t="shared" si="25"/>
        <v>384.7830864766891</v>
      </c>
      <c r="M96" s="28">
        <f t="shared" si="26"/>
        <v>0</v>
      </c>
      <c r="N96" s="28">
        <f>SUM($L$3:L96)</f>
        <v>54356.64098531711</v>
      </c>
      <c r="O96" s="28">
        <f>SUM($M$3:M96)</f>
        <v>71260.69773647306</v>
      </c>
      <c r="Q96">
        <f>MATCH(C96,Ground!$A$3:$A$1999,1)</f>
        <v>65</v>
      </c>
      <c r="R96">
        <f ca="1">OFFSET(Ground!$A$2,Volume!Q96,0)</f>
        <v>5920</v>
      </c>
      <c r="S96">
        <f ca="1">OFFSET(Ground!$A$2,Volume!Q96,1)</f>
        <v>617.42336</v>
      </c>
      <c r="T96">
        <f ca="1">OFFSET(Ground!$A$2,Volume!Q96+1,0)</f>
        <v>5950</v>
      </c>
      <c r="U96">
        <f ca="1">OFFSET(Ground!$A$2,Volume!Q96+1,1)</f>
        <v>615.962</v>
      </c>
      <c r="V96" s="26"/>
      <c r="W96">
        <f t="shared" si="20"/>
        <v>12.652935682331178</v>
      </c>
      <c r="X96">
        <f>IF(Volume!W96&lt;'Temp Calcs'!$E$8,1,0)</f>
        <v>0</v>
      </c>
      <c r="Z96">
        <f t="shared" si="21"/>
        <v>-13.41974154157048</v>
      </c>
      <c r="AA96">
        <f>IF(Volume!Z96&gt;'Temp Calcs'!$L$8,1,0)</f>
        <v>0</v>
      </c>
      <c r="AB96" s="8"/>
      <c r="AC96" s="7"/>
    </row>
    <row r="97" spans="1:29" ht="12.75">
      <c r="A97" s="1">
        <v>96</v>
      </c>
      <c r="C97" s="7">
        <f t="shared" si="13"/>
        <v>5940</v>
      </c>
      <c r="D97" s="8">
        <f t="shared" si="11"/>
        <v>615.0447785305915</v>
      </c>
      <c r="E97" s="7">
        <f t="shared" si="12"/>
        <v>-4.91917611203106</v>
      </c>
      <c r="F97" s="7"/>
      <c r="G97">
        <f t="shared" si="22"/>
        <v>616.44912</v>
      </c>
      <c r="H97" s="8">
        <f t="shared" si="23"/>
        <v>-1.4043414694084504</v>
      </c>
      <c r="I97" s="30">
        <f>IF(H97&lt;1,(Data!$G$16+14+0.8*Data!$G$17+Data!$G$18*(1-H97))*(1-H97),(Data!$G$16+6+Data!$G$17*(H97-0.6))*(H97-0.6))</f>
        <v>76.95980377094423</v>
      </c>
      <c r="J97" s="28">
        <f t="shared" si="16"/>
        <v>384.7075179550356</v>
      </c>
      <c r="K97" t="str">
        <f t="shared" si="24"/>
        <v>Cut</v>
      </c>
      <c r="L97" s="28">
        <f t="shared" si="25"/>
        <v>384.7075179550356</v>
      </c>
      <c r="M97" s="28">
        <f t="shared" si="26"/>
        <v>0</v>
      </c>
      <c r="N97" s="28">
        <f>SUM($L$3:L97)</f>
        <v>54741.34850327215</v>
      </c>
      <c r="O97" s="28">
        <f>SUM($M$3:M97)</f>
        <v>71260.69773647306</v>
      </c>
      <c r="Q97">
        <f>MATCH(C97,Ground!$A$3:$A$1999,1)</f>
        <v>65</v>
      </c>
      <c r="R97">
        <f ca="1">OFFSET(Ground!$A$2,Volume!Q97,0)</f>
        <v>5920</v>
      </c>
      <c r="S97">
        <f ca="1">OFFSET(Ground!$A$2,Volume!Q97,1)</f>
        <v>617.42336</v>
      </c>
      <c r="T97">
        <f ca="1">OFFSET(Ground!$A$2,Volume!Q97+1,0)</f>
        <v>5950</v>
      </c>
      <c r="U97">
        <f ca="1">OFFSET(Ground!$A$2,Volume!Q97+1,1)</f>
        <v>615.962</v>
      </c>
      <c r="V97" s="26"/>
      <c r="W97">
        <f t="shared" si="20"/>
        <v>12.529229136057463</v>
      </c>
      <c r="X97">
        <f>IF(Volume!W97&lt;'Temp Calcs'!$E$8,1,0)</f>
        <v>0</v>
      </c>
      <c r="Z97">
        <f t="shared" si="21"/>
        <v>-13.308208202596449</v>
      </c>
      <c r="AA97">
        <f>IF(Volume!Z97&gt;'Temp Calcs'!$L$8,1,0)</f>
        <v>0</v>
      </c>
      <c r="AB97" s="8"/>
      <c r="AC97" s="7"/>
    </row>
    <row r="98" spans="1:29" ht="12.75">
      <c r="A98" s="1">
        <v>97</v>
      </c>
      <c r="C98" s="7">
        <f t="shared" si="13"/>
        <v>5945</v>
      </c>
      <c r="D98" s="8">
        <f t="shared" si="11"/>
        <v>614.7974150789572</v>
      </c>
      <c r="E98" s="7">
        <f t="shared" si="12"/>
        <v>-4.975361953342594</v>
      </c>
      <c r="F98" s="7"/>
      <c r="G98">
        <f t="shared" si="22"/>
        <v>616.20556</v>
      </c>
      <c r="H98" s="8">
        <f t="shared" si="23"/>
        <v>-1.4081449210427763</v>
      </c>
      <c r="I98" s="30">
        <f>IF(H98&lt;1,(Data!$G$16+14+0.8*Data!$G$17+Data!$G$18*(1-H98))*(1-H98),(Data!$G$16+6+Data!$G$17*(H98-0.6))*(H98-0.6))</f>
        <v>77.09986577385176</v>
      </c>
      <c r="J98" s="28">
        <f t="shared" si="16"/>
        <v>385.14917386199</v>
      </c>
      <c r="K98" t="str">
        <f t="shared" si="24"/>
        <v>Cut</v>
      </c>
      <c r="L98" s="28">
        <f t="shared" si="25"/>
        <v>385.14917386199</v>
      </c>
      <c r="M98" s="28">
        <f t="shared" si="26"/>
        <v>0</v>
      </c>
      <c r="N98" s="28">
        <f>SUM($L$3:L98)</f>
        <v>55126.49767713414</v>
      </c>
      <c r="O98" s="28">
        <f>SUM($M$3:M98)</f>
        <v>71260.69773647306</v>
      </c>
      <c r="Q98">
        <f>MATCH(C98,Ground!$A$3:$A$1999,1)</f>
        <v>65</v>
      </c>
      <c r="R98">
        <f ca="1">OFFSET(Ground!$A$2,Volume!Q98,0)</f>
        <v>5920</v>
      </c>
      <c r="S98">
        <f ca="1">OFFSET(Ground!$A$2,Volume!Q98,1)</f>
        <v>617.42336</v>
      </c>
      <c r="T98">
        <f ca="1">OFFSET(Ground!$A$2,Volume!Q98+1,0)</f>
        <v>5950</v>
      </c>
      <c r="U98">
        <f ca="1">OFFSET(Ground!$A$2,Volume!Q98+1,1)</f>
        <v>615.962</v>
      </c>
      <c r="V98" s="26"/>
      <c r="W98">
        <f t="shared" si="20"/>
        <v>12.403830007994646</v>
      </c>
      <c r="X98">
        <f>IF(Volume!W98&lt;'Temp Calcs'!$E$8,1,0)</f>
        <v>0</v>
      </c>
      <c r="Z98">
        <f t="shared" si="21"/>
        <v>-13.195521727030526</v>
      </c>
      <c r="AA98">
        <f>IF(Volume!Z98&gt;'Temp Calcs'!$L$8,1,0)</f>
        <v>0</v>
      </c>
      <c r="AB98" s="8"/>
      <c r="AC98" s="7"/>
    </row>
    <row r="99" spans="1:29" ht="12.75">
      <c r="A99" s="1">
        <v>98</v>
      </c>
      <c r="C99" s="7">
        <f t="shared" si="13"/>
        <v>5950</v>
      </c>
      <c r="D99" s="8">
        <f t="shared" si="11"/>
        <v>614.5472423352572</v>
      </c>
      <c r="E99" s="7">
        <f t="shared" si="12"/>
        <v>-5.031547794654127</v>
      </c>
      <c r="F99" s="7"/>
      <c r="G99">
        <f t="shared" si="22"/>
        <v>615.962</v>
      </c>
      <c r="H99" s="8">
        <f t="shared" si="23"/>
        <v>-1.4147576647427513</v>
      </c>
      <c r="I99" s="30">
        <f>IF(H99&lt;1,(Data!$G$16+14+0.8*Data!$G$17+Data!$G$18*(1-H99))*(1-H99),(Data!$G$16+6+Data!$G$17*(H99-0.6))*(H99-0.6))</f>
        <v>77.34351763987057</v>
      </c>
      <c r="J99" s="28">
        <f t="shared" si="16"/>
        <v>386.10845853430584</v>
      </c>
      <c r="K99" t="str">
        <f t="shared" si="24"/>
        <v>Cut</v>
      </c>
      <c r="L99" s="28">
        <f t="shared" si="25"/>
        <v>386.10845853430584</v>
      </c>
      <c r="M99" s="28">
        <f t="shared" si="26"/>
        <v>0</v>
      </c>
      <c r="N99" s="28">
        <f>SUM($L$3:L99)</f>
        <v>55512.606135668444</v>
      </c>
      <c r="O99" s="28">
        <f>SUM($M$3:M99)</f>
        <v>71260.69773647306</v>
      </c>
      <c r="Q99">
        <f>MATCH(C99,Ground!$A$3:$A$1999,1)</f>
        <v>66</v>
      </c>
      <c r="R99">
        <f ca="1">OFFSET(Ground!$A$2,Volume!Q99,0)</f>
        <v>5950</v>
      </c>
      <c r="S99">
        <f ca="1">OFFSET(Ground!$A$2,Volume!Q99,1)</f>
        <v>615.962</v>
      </c>
      <c r="T99">
        <f ca="1">OFFSET(Ground!$A$2,Volume!Q99+1,0)</f>
        <v>5980</v>
      </c>
      <c r="U99">
        <f ca="1">OFFSET(Ground!$A$2,Volume!Q99+1,1)</f>
        <v>614.326011</v>
      </c>
      <c r="V99" s="26"/>
      <c r="W99">
        <f t="shared" si="20"/>
        <v>12.276583145573587</v>
      </c>
      <c r="X99">
        <f>IF(Volume!W99&lt;'Temp Calcs'!$E$8,1,0)</f>
        <v>0</v>
      </c>
      <c r="Z99">
        <f t="shared" si="21"/>
        <v>-13.08156100332389</v>
      </c>
      <c r="AA99">
        <f>IF(Volume!Z99&gt;'Temp Calcs'!$L$8,1,0)</f>
        <v>0</v>
      </c>
      <c r="AB99" s="8"/>
      <c r="AC99" s="7"/>
    </row>
    <row r="100" spans="1:29" ht="12.75">
      <c r="A100" s="1">
        <v>99</v>
      </c>
      <c r="C100" s="7">
        <f t="shared" si="13"/>
        <v>5955</v>
      </c>
      <c r="D100" s="8">
        <f t="shared" si="11"/>
        <v>614.2942602994917</v>
      </c>
      <c r="E100" s="7">
        <f t="shared" si="12"/>
        <v>-5.0877336359656615</v>
      </c>
      <c r="F100" s="7"/>
      <c r="G100">
        <f t="shared" si="22"/>
        <v>615.6893351666666</v>
      </c>
      <c r="H100" s="8">
        <f t="shared" si="23"/>
        <v>-1.3950748671749125</v>
      </c>
      <c r="I100" s="30">
        <f>IF(H100&lt;1,(Data!$G$16+14+0.8*Data!$G$17+Data!$G$18*(1-H100))*(1-H100),(Data!$G$16+6+Data!$G$17*(H100-0.6))*(H100-0.6))</f>
        <v>76.61880362590347</v>
      </c>
      <c r="J100" s="28">
        <f t="shared" si="16"/>
        <v>384.90580316443516</v>
      </c>
      <c r="K100" t="str">
        <f t="shared" si="24"/>
        <v>Cut</v>
      </c>
      <c r="L100" s="28">
        <f t="shared" si="25"/>
        <v>384.90580316443516</v>
      </c>
      <c r="M100" s="28">
        <f t="shared" si="26"/>
        <v>0</v>
      </c>
      <c r="N100" s="28">
        <f>SUM($L$3:L100)</f>
        <v>55897.51193883288</v>
      </c>
      <c r="O100" s="28">
        <f>SUM($M$3:M100)</f>
        <v>71260.69773647306</v>
      </c>
      <c r="Q100">
        <f>MATCH(C100,Ground!$A$3:$A$1999,1)</f>
        <v>66</v>
      </c>
      <c r="R100">
        <f ca="1">OFFSET(Ground!$A$2,Volume!Q100,0)</f>
        <v>5950</v>
      </c>
      <c r="S100">
        <f ca="1">OFFSET(Ground!$A$2,Volume!Q100,1)</f>
        <v>615.962</v>
      </c>
      <c r="T100">
        <f ca="1">OFFSET(Ground!$A$2,Volume!Q100+1,0)</f>
        <v>5980</v>
      </c>
      <c r="U100">
        <f ca="1">OFFSET(Ground!$A$2,Volume!Q100+1,1)</f>
        <v>614.326011</v>
      </c>
      <c r="V100" s="26"/>
      <c r="W100">
        <f t="shared" si="20"/>
        <v>12.147320735538882</v>
      </c>
      <c r="X100">
        <f>IF(Volume!W100&lt;'Temp Calcs'!$E$8,1,0)</f>
        <v>0</v>
      </c>
      <c r="Z100">
        <f t="shared" si="21"/>
        <v>-12.96619523037887</v>
      </c>
      <c r="AA100">
        <f>IF(Volume!Z100&gt;'Temp Calcs'!$L$8,1,0)</f>
        <v>0</v>
      </c>
      <c r="AB100" s="8"/>
      <c r="AC100" s="7"/>
    </row>
    <row r="101" spans="1:29" ht="12.75">
      <c r="A101" s="1">
        <v>100</v>
      </c>
      <c r="C101" s="7">
        <f t="shared" si="13"/>
        <v>5960</v>
      </c>
      <c r="D101" s="8">
        <f t="shared" si="11"/>
        <v>614.0384689716607</v>
      </c>
      <c r="E101" s="7">
        <f t="shared" si="12"/>
        <v>-5.143919477277194</v>
      </c>
      <c r="F101" s="7"/>
      <c r="G101">
        <f t="shared" si="22"/>
        <v>615.4166703333333</v>
      </c>
      <c r="H101" s="8">
        <f t="shared" si="23"/>
        <v>-1.378201361672609</v>
      </c>
      <c r="I101" s="30">
        <f>IF(H101&lt;1,(Data!$G$16+14+0.8*Data!$G$17+Data!$G$18*(1-H101))*(1-H101),(Data!$G$16+6+Data!$G$17*(H101-0.6))*(H101-0.6))</f>
        <v>75.99876047081787</v>
      </c>
      <c r="J101" s="28">
        <f t="shared" si="16"/>
        <v>381.54391024180336</v>
      </c>
      <c r="K101" t="str">
        <f t="shared" si="24"/>
        <v>Cut</v>
      </c>
      <c r="L101" s="28">
        <f t="shared" si="25"/>
        <v>381.54391024180336</v>
      </c>
      <c r="M101" s="28">
        <f t="shared" si="26"/>
        <v>0</v>
      </c>
      <c r="N101" s="28">
        <f>SUM($L$3:L101)</f>
        <v>56279.055849074684</v>
      </c>
      <c r="O101" s="28">
        <f>SUM($M$3:M101)</f>
        <v>71260.69773647306</v>
      </c>
      <c r="Q101">
        <f>MATCH(C101,Ground!$A$3:$A$1999,1)</f>
        <v>66</v>
      </c>
      <c r="R101">
        <f ca="1">OFFSET(Ground!$A$2,Volume!Q101,0)</f>
        <v>5950</v>
      </c>
      <c r="S101">
        <f ca="1">OFFSET(Ground!$A$2,Volume!Q101,1)</f>
        <v>615.962</v>
      </c>
      <c r="T101">
        <f ca="1">OFFSET(Ground!$A$2,Volume!Q101+1,0)</f>
        <v>5980</v>
      </c>
      <c r="U101">
        <f ca="1">OFFSET(Ground!$A$2,Volume!Q101+1,1)</f>
        <v>614.326011</v>
      </c>
      <c r="V101" s="26"/>
      <c r="W101">
        <f t="shared" si="20"/>
        <v>12.01586087663358</v>
      </c>
      <c r="X101">
        <f>IF(Volume!W101&lt;'Temp Calcs'!$E$8,1,0)</f>
        <v>0</v>
      </c>
      <c r="Z101">
        <f t="shared" si="21"/>
        <v>-12.84928282056516</v>
      </c>
      <c r="AA101">
        <f>IF(Volume!Z101&gt;'Temp Calcs'!$L$8,1,0)</f>
        <v>0</v>
      </c>
      <c r="AB101" s="8"/>
      <c r="AC101" s="7"/>
    </row>
    <row r="102" spans="1:29" ht="12.75">
      <c r="A102" s="1">
        <v>101</v>
      </c>
      <c r="B102" s="1" t="s">
        <v>18</v>
      </c>
      <c r="C102" s="5">
        <f>Data!C4+Data!F4/2</f>
        <v>5965</v>
      </c>
      <c r="D102" s="6">
        <f>Data!D4+(Data!E4/100*(Volume!C102-Data!C4))</f>
        <v>613.7798683517641</v>
      </c>
      <c r="E102" s="5">
        <f>Data!E4</f>
        <v>-5.2001053185887285</v>
      </c>
      <c r="F102" s="5"/>
      <c r="G102">
        <f>S102+(U102-S102)*(C102-R102)/(T102-R102)</f>
        <v>615.1440055</v>
      </c>
      <c r="H102" s="8">
        <f>D102-G102</f>
        <v>-1.3641371482359546</v>
      </c>
      <c r="I102" s="30">
        <f>IF(H102&lt;1,(Data!$G$16+14+0.8*Data!$G$17+Data!$G$18*(1-H102))*(1-H102),(Data!$G$16+6+Data!$G$17*(H102-0.6))*(H102-0.6))</f>
        <v>75.48281934335643</v>
      </c>
      <c r="J102" s="28">
        <f t="shared" si="16"/>
        <v>378.70394953543575</v>
      </c>
      <c r="K102" t="str">
        <f>IF(H102&lt;0.5,"Cut","Fill")</f>
        <v>Cut</v>
      </c>
      <c r="L102" s="28">
        <f>IF(K102="Cut",J102,0)</f>
        <v>378.70394953543575</v>
      </c>
      <c r="M102" s="28">
        <f>IF(K102="Fill",J102,0)</f>
        <v>0</v>
      </c>
      <c r="N102" s="28">
        <f>SUM($L$3:L102)</f>
        <v>56657.75979861012</v>
      </c>
      <c r="O102" s="28">
        <f>SUM($M$3:M102)</f>
        <v>71260.69773647306</v>
      </c>
      <c r="Q102">
        <f>MATCH(C102,Ground!$A$3:$A$1999,1)</f>
        <v>66</v>
      </c>
      <c r="R102">
        <f ca="1">OFFSET(Ground!$A$2,Volume!Q102,0)</f>
        <v>5950</v>
      </c>
      <c r="S102">
        <f ca="1">OFFSET(Ground!$A$2,Volume!Q102,1)</f>
        <v>615.962</v>
      </c>
      <c r="T102">
        <f ca="1">OFFSET(Ground!$A$2,Volume!Q102+1,0)</f>
        <v>5980</v>
      </c>
      <c r="U102">
        <f ca="1">OFFSET(Ground!$A$2,Volume!Q102+1,1)</f>
        <v>614.326011</v>
      </c>
      <c r="V102" s="26"/>
      <c r="W102">
        <f t="shared" si="20"/>
        <v>11.882005957929522</v>
      </c>
      <c r="X102">
        <f>IF(Volume!W102&lt;'Temp Calcs'!$E$8,1,0)</f>
        <v>0</v>
      </c>
      <c r="Z102">
        <f t="shared" si="21"/>
        <v>-12.730670153484276</v>
      </c>
      <c r="AA102">
        <f>IF(Volume!Z102&gt;'Temp Calcs'!$L$8,1,0)</f>
        <v>0</v>
      </c>
      <c r="AB102" s="6"/>
      <c r="AC102" s="5"/>
    </row>
    <row r="103" spans="1:29" ht="12.75">
      <c r="A103" s="1">
        <v>102</v>
      </c>
      <c r="B103" s="1"/>
      <c r="C103" s="31">
        <f aca="true" t="shared" si="27" ref="C103:C134">C102+($C$152-$C$102)/50</f>
        <v>5967.096</v>
      </c>
      <c r="D103" s="26">
        <f>$D$102+($D$152-$D$102)*(C103-$C$102)/($C$152-$C$102)</f>
        <v>613.6708741442865</v>
      </c>
      <c r="E103" s="31">
        <f>E102</f>
        <v>-5.2001053185887285</v>
      </c>
      <c r="F103" s="5"/>
      <c r="G103">
        <f aca="true" t="shared" si="28" ref="G103:G151">S103+(U103-S103)*(C103-R103)/(T103-R103)</f>
        <v>615.0297044018666</v>
      </c>
      <c r="H103" s="8">
        <f aca="true" t="shared" si="29" ref="H103:H151">D103-G103</f>
        <v>-1.3588302575801663</v>
      </c>
      <c r="I103" s="30">
        <f>IF(H103&lt;1,(Data!$G$16+14+0.8*Data!$G$17+Data!$G$18*(1-H103))*(1-H103),(Data!$G$16+6+Data!$G$17*(H103-0.6))*(H103-0.6))</f>
        <v>75.28834337433194</v>
      </c>
      <c r="J103" s="28">
        <f t="shared" si="16"/>
        <v>158.0081785281034</v>
      </c>
      <c r="K103" t="str">
        <f aca="true" t="shared" si="30" ref="K103:K151">IF(H103&lt;0.5,"Cut","Fill")</f>
        <v>Cut</v>
      </c>
      <c r="L103" s="28">
        <f aca="true" t="shared" si="31" ref="L103:L151">IF(K103="Cut",J103,0)</f>
        <v>158.0081785281034</v>
      </c>
      <c r="M103" s="28">
        <f aca="true" t="shared" si="32" ref="M103:M151">IF(K103="Fill",J103,0)</f>
        <v>0</v>
      </c>
      <c r="N103" s="28">
        <f>SUM($L$3:L103)</f>
        <v>56815.76797713822</v>
      </c>
      <c r="O103" s="28">
        <f>SUM($M$3:M103)</f>
        <v>71260.69773647306</v>
      </c>
      <c r="Q103">
        <f>MATCH(C103,Ground!$A$3:$A$1999,1)</f>
        <v>66</v>
      </c>
      <c r="R103">
        <f ca="1">OFFSET(Ground!$A$2,Volume!Q103,0)</f>
        <v>5950</v>
      </c>
      <c r="S103">
        <f ca="1">OFFSET(Ground!$A$2,Volume!Q103,1)</f>
        <v>615.962</v>
      </c>
      <c r="T103">
        <f ca="1">OFFSET(Ground!$A$2,Volume!Q103+1,0)</f>
        <v>5980</v>
      </c>
      <c r="U103">
        <f ca="1">OFFSET(Ground!$A$2,Volume!Q103+1,1)</f>
        <v>614.326011</v>
      </c>
      <c r="V103" s="26"/>
      <c r="W103">
        <f t="shared" si="20"/>
        <v>11.82492254536846</v>
      </c>
      <c r="X103">
        <f>IF(Volume!W103&lt;'Temp Calcs'!$E$8,1,0)</f>
        <v>0</v>
      </c>
      <c r="Z103">
        <f t="shared" si="21"/>
        <v>-12.680179308175823</v>
      </c>
      <c r="AA103">
        <f>IF(Volume!Z103&gt;'Temp Calcs'!$L$8,1,0)</f>
        <v>0</v>
      </c>
      <c r="AB103" s="6"/>
      <c r="AC103" s="5"/>
    </row>
    <row r="104" spans="1:29" ht="12.75">
      <c r="A104" s="1">
        <v>103</v>
      </c>
      <c r="B104" s="1"/>
      <c r="C104" s="31">
        <f t="shared" si="27"/>
        <v>5969.191999999999</v>
      </c>
      <c r="D104" s="26">
        <f aca="true" t="shared" si="33" ref="D104:D134">$D$102+($D$152-$D$102)*(C104-$C$102)/($C$152-$C$102)</f>
        <v>613.5618799368089</v>
      </c>
      <c r="E104" s="31">
        <f aca="true" t="shared" si="34" ref="E104:E151">E103</f>
        <v>-5.2001053185887285</v>
      </c>
      <c r="F104" s="5"/>
      <c r="G104">
        <f t="shared" si="28"/>
        <v>614.9154033037333</v>
      </c>
      <c r="H104" s="8">
        <f t="shared" si="29"/>
        <v>-1.3535233669244917</v>
      </c>
      <c r="I104" s="30">
        <f>IF(H104&lt;1,(Data!$G$16+14+0.8*Data!$G$17+Data!$G$18*(1-H104))*(1-H104),(Data!$G$16+6+Data!$G$17*(H104-0.6))*(H104-0.6))</f>
        <v>75.09398005766536</v>
      </c>
      <c r="J104" s="28">
        <f t="shared" si="16"/>
        <v>157.60067495669924</v>
      </c>
      <c r="K104" t="str">
        <f t="shared" si="30"/>
        <v>Cut</v>
      </c>
      <c r="L104" s="28">
        <f t="shared" si="31"/>
        <v>157.60067495669924</v>
      </c>
      <c r="M104" s="28">
        <f t="shared" si="32"/>
        <v>0</v>
      </c>
      <c r="N104" s="28">
        <f>SUM($L$3:L104)</f>
        <v>56973.36865209492</v>
      </c>
      <c r="O104" s="28">
        <f>SUM($M$3:M104)</f>
        <v>71260.69773647306</v>
      </c>
      <c r="Q104">
        <f>MATCH(C104,Ground!$A$3:$A$1999,1)</f>
        <v>66</v>
      </c>
      <c r="R104">
        <f ca="1">OFFSET(Ground!$A$2,Volume!Q104,0)</f>
        <v>5950</v>
      </c>
      <c r="S104">
        <f ca="1">OFFSET(Ground!$A$2,Volume!Q104,1)</f>
        <v>615.962</v>
      </c>
      <c r="T104">
        <f ca="1">OFFSET(Ground!$A$2,Volume!Q104+1,0)</f>
        <v>5980</v>
      </c>
      <c r="U104">
        <f ca="1">OFFSET(Ground!$A$2,Volume!Q104+1,1)</f>
        <v>614.326011</v>
      </c>
      <c r="V104" s="26"/>
      <c r="W104">
        <f t="shared" si="20"/>
        <v>11.76694532229611</v>
      </c>
      <c r="X104">
        <f>IF(Volume!W104&lt;'Temp Calcs'!$E$8,1,0)</f>
        <v>0</v>
      </c>
      <c r="Z104">
        <f t="shared" si="21"/>
        <v>-12.628897878593662</v>
      </c>
      <c r="AA104">
        <f>IF(Volume!Z104&gt;'Temp Calcs'!$L$8,1,0)</f>
        <v>0</v>
      </c>
      <c r="AB104" s="6"/>
      <c r="AC104" s="5"/>
    </row>
    <row r="105" spans="1:29" ht="12.75">
      <c r="A105" s="1">
        <v>104</v>
      </c>
      <c r="B105" s="1"/>
      <c r="C105" s="31">
        <f t="shared" si="27"/>
        <v>5971.287999999999</v>
      </c>
      <c r="D105" s="26">
        <f t="shared" si="33"/>
        <v>613.4528857293313</v>
      </c>
      <c r="E105" s="31">
        <f t="shared" si="34"/>
        <v>-5.2001053185887285</v>
      </c>
      <c r="F105" s="5"/>
      <c r="G105">
        <f t="shared" si="28"/>
        <v>614.8011022056</v>
      </c>
      <c r="H105" s="8">
        <f t="shared" si="29"/>
        <v>-1.3482164762687034</v>
      </c>
      <c r="I105" s="30">
        <f>IF(H105&lt;1,(Data!$G$16+14+0.8*Data!$G$17+Data!$G$18*(1-H105))*(1-H105),(Data!$G$16+6+Data!$G$17*(H105-0.6))*(H105-0.6))</f>
        <v>74.89972939334834</v>
      </c>
      <c r="J105" s="28">
        <f t="shared" si="16"/>
        <v>157.19340750462854</v>
      </c>
      <c r="K105" t="str">
        <f t="shared" si="30"/>
        <v>Cut</v>
      </c>
      <c r="L105" s="28">
        <f t="shared" si="31"/>
        <v>157.19340750462854</v>
      </c>
      <c r="M105" s="28">
        <f t="shared" si="32"/>
        <v>0</v>
      </c>
      <c r="N105" s="28">
        <f>SUM($L$3:L105)</f>
        <v>57130.56205959955</v>
      </c>
      <c r="O105" s="28">
        <f>SUM($M$3:M105)</f>
        <v>71260.69773647306</v>
      </c>
      <c r="Q105">
        <f>MATCH(C105,Ground!$A$3:$A$1999,1)</f>
        <v>66</v>
      </c>
      <c r="R105">
        <f ca="1">OFFSET(Ground!$A$2,Volume!Q105,0)</f>
        <v>5950</v>
      </c>
      <c r="S105">
        <f ca="1">OFFSET(Ground!$A$2,Volume!Q105,1)</f>
        <v>615.962</v>
      </c>
      <c r="T105">
        <f ca="1">OFFSET(Ground!$A$2,Volume!Q105+1,0)</f>
        <v>5980</v>
      </c>
      <c r="U105">
        <f ca="1">OFFSET(Ground!$A$2,Volume!Q105+1,1)</f>
        <v>614.326011</v>
      </c>
      <c r="V105" s="26"/>
      <c r="W105">
        <f t="shared" si="20"/>
        <v>11.70805313017167</v>
      </c>
      <c r="X105">
        <f>IF(Volume!W105&lt;'Temp Calcs'!$E$8,1,0)</f>
        <v>0</v>
      </c>
      <c r="Z105">
        <f t="shared" si="21"/>
        <v>-12.576807149798306</v>
      </c>
      <c r="AA105">
        <f>IF(Volume!Z105&gt;'Temp Calcs'!$L$8,1,0)</f>
        <v>0</v>
      </c>
      <c r="AB105" s="6"/>
      <c r="AC105" s="5"/>
    </row>
    <row r="106" spans="1:29" ht="12.75">
      <c r="A106" s="1">
        <v>105</v>
      </c>
      <c r="B106" s="1"/>
      <c r="C106" s="31">
        <f t="shared" si="27"/>
        <v>5973.383999999998</v>
      </c>
      <c r="D106" s="26">
        <f t="shared" si="33"/>
        <v>613.3438915218537</v>
      </c>
      <c r="E106" s="31">
        <f t="shared" si="34"/>
        <v>-5.2001053185887285</v>
      </c>
      <c r="F106" s="5"/>
      <c r="G106">
        <f t="shared" si="28"/>
        <v>614.6868011074667</v>
      </c>
      <c r="H106" s="8">
        <f t="shared" si="29"/>
        <v>-1.3429095856130289</v>
      </c>
      <c r="I106" s="30">
        <f>IF(H106&lt;1,(Data!$G$16+14+0.8*Data!$G$17+Data!$G$18*(1-H106))*(1-H106),(Data!$G$16+6+Data!$G$17*(H106-0.6))*(H106-0.6))</f>
        <v>74.70559138138921</v>
      </c>
      <c r="J106" s="28">
        <f t="shared" si="16"/>
        <v>156.78637617189122</v>
      </c>
      <c r="K106" t="str">
        <f t="shared" si="30"/>
        <v>Cut</v>
      </c>
      <c r="L106" s="28">
        <f t="shared" si="31"/>
        <v>156.78637617189122</v>
      </c>
      <c r="M106" s="28">
        <f t="shared" si="32"/>
        <v>0</v>
      </c>
      <c r="N106" s="28">
        <f>SUM($L$3:L106)</f>
        <v>57287.34843577144</v>
      </c>
      <c r="O106" s="28">
        <f>SUM($M$3:M106)</f>
        <v>71260.69773647306</v>
      </c>
      <c r="Q106">
        <f>MATCH(C106,Ground!$A$3:$A$1999,1)</f>
        <v>66</v>
      </c>
      <c r="R106">
        <f ca="1">OFFSET(Ground!$A$2,Volume!Q106,0)</f>
        <v>5950</v>
      </c>
      <c r="S106">
        <f ca="1">OFFSET(Ground!$A$2,Volume!Q106,1)</f>
        <v>615.962</v>
      </c>
      <c r="T106">
        <f ca="1">OFFSET(Ground!$A$2,Volume!Q106+1,0)</f>
        <v>5980</v>
      </c>
      <c r="U106">
        <f ca="1">OFFSET(Ground!$A$2,Volume!Q106+1,1)</f>
        <v>614.326011</v>
      </c>
      <c r="V106" s="26"/>
      <c r="W106">
        <f t="shared" si="20"/>
        <v>11.648224137314925</v>
      </c>
      <c r="X106">
        <f>IF(Volume!W106&lt;'Temp Calcs'!$E$8,1,0)</f>
        <v>0</v>
      </c>
      <c r="Z106">
        <f t="shared" si="21"/>
        <v>-12.523887811451829</v>
      </c>
      <c r="AA106">
        <f>IF(Volume!Z106&gt;'Temp Calcs'!$L$8,1,0)</f>
        <v>0</v>
      </c>
      <c r="AB106" s="6"/>
      <c r="AC106" s="5"/>
    </row>
    <row r="107" spans="1:29" ht="12.75">
      <c r="A107" s="1">
        <v>106</v>
      </c>
      <c r="B107" s="1"/>
      <c r="C107" s="31">
        <f t="shared" si="27"/>
        <v>5975.479999999998</v>
      </c>
      <c r="D107" s="26">
        <f t="shared" si="33"/>
        <v>613.2348973143761</v>
      </c>
      <c r="E107" s="31">
        <f t="shared" si="34"/>
        <v>-5.2001053185887285</v>
      </c>
      <c r="F107" s="5"/>
      <c r="G107">
        <f t="shared" si="28"/>
        <v>614.5725000093335</v>
      </c>
      <c r="H107" s="8">
        <f t="shared" si="29"/>
        <v>-1.3376026949573543</v>
      </c>
      <c r="I107" s="30">
        <f>IF(H107&lt;1,(Data!$G$16+14+0.8*Data!$G$17+Data!$G$18*(1-H107))*(1-H107),(Data!$G$16+6+Data!$G$17*(H107-0.6))*(H107-0.6))</f>
        <v>74.5115660217838</v>
      </c>
      <c r="J107" s="28">
        <f t="shared" si="16"/>
        <v>156.37958095849166</v>
      </c>
      <c r="K107" t="str">
        <f t="shared" si="30"/>
        <v>Cut</v>
      </c>
      <c r="L107" s="28">
        <f t="shared" si="31"/>
        <v>156.37958095849166</v>
      </c>
      <c r="M107" s="28">
        <f t="shared" si="32"/>
        <v>0</v>
      </c>
      <c r="N107" s="28">
        <f>SUM($L$3:L107)</f>
        <v>57443.72801672993</v>
      </c>
      <c r="O107" s="28">
        <f>SUM($M$3:M107)</f>
        <v>71260.69773647306</v>
      </c>
      <c r="Q107">
        <f>MATCH(C107,Ground!$A$3:$A$1999,1)</f>
        <v>66</v>
      </c>
      <c r="R107">
        <f ca="1">OFFSET(Ground!$A$2,Volume!Q107,0)</f>
        <v>5950</v>
      </c>
      <c r="S107">
        <f ca="1">OFFSET(Ground!$A$2,Volume!Q107,1)</f>
        <v>615.962</v>
      </c>
      <c r="T107">
        <f ca="1">OFFSET(Ground!$A$2,Volume!Q107+1,0)</f>
        <v>5980</v>
      </c>
      <c r="U107">
        <f ca="1">OFFSET(Ground!$A$2,Volume!Q107+1,1)</f>
        <v>614.326011</v>
      </c>
      <c r="V107" s="26"/>
      <c r="W107">
        <f t="shared" si="20"/>
        <v>11.587435811921889</v>
      </c>
      <c r="X107">
        <f>IF(Volume!W107&lt;'Temp Calcs'!$E$8,1,0)</f>
        <v>0</v>
      </c>
      <c r="Z107">
        <f t="shared" si="21"/>
        <v>-12.470119933949823</v>
      </c>
      <c r="AA107">
        <f>IF(Volume!Z107&gt;'Temp Calcs'!$L$8,1,0)</f>
        <v>0</v>
      </c>
      <c r="AB107" s="6"/>
      <c r="AC107" s="5"/>
    </row>
    <row r="108" spans="1:29" ht="12.75">
      <c r="A108" s="1">
        <v>107</v>
      </c>
      <c r="B108" s="1"/>
      <c r="C108" s="31">
        <f t="shared" si="27"/>
        <v>5977.575999999997</v>
      </c>
      <c r="D108" s="26">
        <f t="shared" si="33"/>
        <v>613.1259031068985</v>
      </c>
      <c r="E108" s="31">
        <f t="shared" si="34"/>
        <v>-5.2001053185887285</v>
      </c>
      <c r="F108" s="5"/>
      <c r="G108">
        <f t="shared" si="28"/>
        <v>614.4581989112002</v>
      </c>
      <c r="H108" s="8">
        <f t="shared" si="29"/>
        <v>-1.3322958043016797</v>
      </c>
      <c r="I108" s="30">
        <f>IF(H108&lt;1,(Data!$G$16+14+0.8*Data!$G$17+Data!$G$18*(1-H108))*(1-H108),(Data!$G$16+6+Data!$G$17*(H108-0.6))*(H108-0.6))</f>
        <v>74.31765331453212</v>
      </c>
      <c r="J108" s="28">
        <f t="shared" si="16"/>
        <v>155.97302186442553</v>
      </c>
      <c r="K108" t="str">
        <f t="shared" si="30"/>
        <v>Cut</v>
      </c>
      <c r="L108" s="28">
        <f t="shared" si="31"/>
        <v>155.97302186442553</v>
      </c>
      <c r="M108" s="28">
        <f t="shared" si="32"/>
        <v>0</v>
      </c>
      <c r="N108" s="28">
        <f>SUM($L$3:L108)</f>
        <v>57599.70103859436</v>
      </c>
      <c r="O108" s="28">
        <f>SUM($M$3:M108)</f>
        <v>71260.69773647306</v>
      </c>
      <c r="Q108">
        <f>MATCH(C108,Ground!$A$3:$A$1999,1)</f>
        <v>66</v>
      </c>
      <c r="R108">
        <f ca="1">OFFSET(Ground!$A$2,Volume!Q108,0)</f>
        <v>5950</v>
      </c>
      <c r="S108">
        <f ca="1">OFFSET(Ground!$A$2,Volume!Q108,1)</f>
        <v>615.962</v>
      </c>
      <c r="T108">
        <f ca="1">OFFSET(Ground!$A$2,Volume!Q108+1,0)</f>
        <v>5980</v>
      </c>
      <c r="U108">
        <f ca="1">OFFSET(Ground!$A$2,Volume!Q108+1,1)</f>
        <v>614.326011</v>
      </c>
      <c r="V108" s="26"/>
      <c r="W108">
        <f t="shared" si="20"/>
        <v>11.525664893772909</v>
      </c>
      <c r="X108">
        <f>IF(Volume!W108&lt;'Temp Calcs'!$E$8,1,0)</f>
        <v>0</v>
      </c>
      <c r="Z108">
        <f t="shared" si="21"/>
        <v>-12.415482943397008</v>
      </c>
      <c r="AA108">
        <f>IF(Volume!Z108&gt;'Temp Calcs'!$L$8,1,0)</f>
        <v>0</v>
      </c>
      <c r="AB108" s="6"/>
      <c r="AC108" s="5"/>
    </row>
    <row r="109" spans="1:29" ht="12.75">
      <c r="A109" s="1">
        <v>108</v>
      </c>
      <c r="B109" s="1"/>
      <c r="C109" s="31">
        <f t="shared" si="27"/>
        <v>5979.671999999997</v>
      </c>
      <c r="D109" s="26">
        <f t="shared" si="33"/>
        <v>613.016908899421</v>
      </c>
      <c r="E109" s="31">
        <f t="shared" si="34"/>
        <v>-5.2001053185887285</v>
      </c>
      <c r="F109" s="5"/>
      <c r="G109">
        <f t="shared" si="28"/>
        <v>614.3438978130669</v>
      </c>
      <c r="H109" s="8">
        <f t="shared" si="29"/>
        <v>-1.3269889136458914</v>
      </c>
      <c r="I109" s="30">
        <f>IF(H109&lt;1,(Data!$G$16+14+0.8*Data!$G$17+Data!$G$18*(1-H109))*(1-H109),(Data!$G$16+6+Data!$G$17*(H109-0.6))*(H109-0.6))</f>
        <v>74.12385325963002</v>
      </c>
      <c r="J109" s="28">
        <f t="shared" si="16"/>
        <v>155.56669888968844</v>
      </c>
      <c r="K109" t="str">
        <f t="shared" si="30"/>
        <v>Cut</v>
      </c>
      <c r="L109" s="28">
        <f t="shared" si="31"/>
        <v>155.56669888968844</v>
      </c>
      <c r="M109" s="28">
        <f t="shared" si="32"/>
        <v>0</v>
      </c>
      <c r="N109" s="28">
        <f>SUM($L$3:L109)</f>
        <v>57755.26773748405</v>
      </c>
      <c r="O109" s="28">
        <f>SUM($M$3:M109)</f>
        <v>71260.69773647306</v>
      </c>
      <c r="Q109">
        <f>MATCH(C109,Ground!$A$3:$A$1999,1)</f>
        <v>66</v>
      </c>
      <c r="R109">
        <f ca="1">OFFSET(Ground!$A$2,Volume!Q109,0)</f>
        <v>5950</v>
      </c>
      <c r="S109">
        <f ca="1">OFFSET(Ground!$A$2,Volume!Q109,1)</f>
        <v>615.962</v>
      </c>
      <c r="T109">
        <f ca="1">OFFSET(Ground!$A$2,Volume!Q109+1,0)</f>
        <v>5980</v>
      </c>
      <c r="U109">
        <f ca="1">OFFSET(Ground!$A$2,Volume!Q109+1,1)</f>
        <v>614.326011</v>
      </c>
      <c r="V109" s="26"/>
      <c r="W109">
        <f t="shared" si="20"/>
        <v>11.462887364557039</v>
      </c>
      <c r="X109">
        <f>IF(Volume!W109&lt;'Temp Calcs'!$E$8,1,0)</f>
        <v>0</v>
      </c>
      <c r="Z109">
        <f t="shared" si="21"/>
        <v>-12.359955595358805</v>
      </c>
      <c r="AA109">
        <f>IF(Volume!Z109&gt;'Temp Calcs'!$L$8,1,0)</f>
        <v>0</v>
      </c>
      <c r="AB109" s="6"/>
      <c r="AC109" s="5"/>
    </row>
    <row r="110" spans="1:29" ht="12.75">
      <c r="A110" s="1">
        <v>109</v>
      </c>
      <c r="B110" s="1"/>
      <c r="C110" s="31">
        <f t="shared" si="27"/>
        <v>5981.767999999996</v>
      </c>
      <c r="D110" s="26">
        <f t="shared" si="33"/>
        <v>612.9079146919433</v>
      </c>
      <c r="E110" s="31">
        <f t="shared" si="34"/>
        <v>-5.2001053185887285</v>
      </c>
      <c r="F110" s="5"/>
      <c r="G110">
        <f t="shared" si="28"/>
        <v>614.2244431717336</v>
      </c>
      <c r="H110" s="8">
        <f t="shared" si="29"/>
        <v>-1.316528479790236</v>
      </c>
      <c r="I110" s="30">
        <f>IF(H110&lt;1,(Data!$G$16+14+0.8*Data!$G$17+Data!$G$18*(1-H110))*(1-H110),(Data!$G$16+6+Data!$G$17*(H110-0.6))*(H110-0.6))</f>
        <v>73.74218304565294</v>
      </c>
      <c r="J110" s="28">
        <f t="shared" si="16"/>
        <v>154.9636060479032</v>
      </c>
      <c r="K110" t="str">
        <f t="shared" si="30"/>
        <v>Cut</v>
      </c>
      <c r="L110" s="28">
        <f t="shared" si="31"/>
        <v>154.9636060479032</v>
      </c>
      <c r="M110" s="28">
        <f t="shared" si="32"/>
        <v>0</v>
      </c>
      <c r="N110" s="28">
        <f>SUM($L$3:L110)</f>
        <v>57910.23134353195</v>
      </c>
      <c r="O110" s="28">
        <f>SUM($M$3:M110)</f>
        <v>71260.69773647306</v>
      </c>
      <c r="Q110">
        <f>MATCH(C110,Ground!$A$3:$A$1999,1)</f>
        <v>67</v>
      </c>
      <c r="R110">
        <f ca="1">OFFSET(Ground!$A$2,Volume!Q110,0)</f>
        <v>5980</v>
      </c>
      <c r="S110">
        <f ca="1">OFFSET(Ground!$A$2,Volume!Q110,1)</f>
        <v>614.326011</v>
      </c>
      <c r="T110">
        <f ca="1">OFFSET(Ground!$A$2,Volume!Q110+1,0)</f>
        <v>6010</v>
      </c>
      <c r="U110">
        <f ca="1">OFFSET(Ground!$A$2,Volume!Q110+1,1)</f>
        <v>612.602575</v>
      </c>
      <c r="V110" s="26"/>
      <c r="W110">
        <f t="shared" si="20"/>
        <v>11.399078416734326</v>
      </c>
      <c r="X110">
        <f>IF(Volume!W110&lt;'Temp Calcs'!$E$8,1,0)</f>
        <v>0</v>
      </c>
      <c r="Z110">
        <f t="shared" si="21"/>
        <v>-12.303515947319802</v>
      </c>
      <c r="AA110">
        <f>IF(Volume!Z110&gt;'Temp Calcs'!$L$8,1,0)</f>
        <v>0</v>
      </c>
      <c r="AB110" s="6"/>
      <c r="AC110" s="5"/>
    </row>
    <row r="111" spans="1:29" ht="12.75">
      <c r="A111" s="1">
        <v>110</v>
      </c>
      <c r="B111" s="1"/>
      <c r="C111" s="31">
        <f t="shared" si="27"/>
        <v>5983.863999999996</v>
      </c>
      <c r="D111" s="26">
        <f t="shared" si="33"/>
        <v>612.7989204844657</v>
      </c>
      <c r="E111" s="31">
        <f t="shared" si="34"/>
        <v>-5.2001053185887285</v>
      </c>
      <c r="F111" s="5"/>
      <c r="G111">
        <f t="shared" si="28"/>
        <v>614.1040324432003</v>
      </c>
      <c r="H111" s="8">
        <f t="shared" si="29"/>
        <v>-1.3051119587345283</v>
      </c>
      <c r="I111" s="30">
        <f>IF(H111&lt;1,(Data!$G$16+14+0.8*Data!$G$17+Data!$G$18*(1-H111))*(1-H111),(Data!$G$16+6+Data!$G$17*(H111-0.6))*(H111-0.6))</f>
        <v>73.32612756218104</v>
      </c>
      <c r="J111" s="28">
        <f t="shared" si="16"/>
        <v>154.12758951697683</v>
      </c>
      <c r="K111" t="str">
        <f t="shared" si="30"/>
        <v>Cut</v>
      </c>
      <c r="L111" s="28">
        <f t="shared" si="31"/>
        <v>154.12758951697683</v>
      </c>
      <c r="M111" s="28">
        <f t="shared" si="32"/>
        <v>0</v>
      </c>
      <c r="N111" s="28">
        <f>SUM($L$3:L111)</f>
        <v>58064.35893304893</v>
      </c>
      <c r="O111" s="28">
        <f>SUM($M$3:M111)</f>
        <v>71260.69773647306</v>
      </c>
      <c r="Q111">
        <f>MATCH(C111,Ground!$A$3:$A$1999,1)</f>
        <v>67</v>
      </c>
      <c r="R111">
        <f ca="1">OFFSET(Ground!$A$2,Volume!Q111,0)</f>
        <v>5980</v>
      </c>
      <c r="S111">
        <f ca="1">OFFSET(Ground!$A$2,Volume!Q111,1)</f>
        <v>614.326011</v>
      </c>
      <c r="T111">
        <f ca="1">OFFSET(Ground!$A$2,Volume!Q111+1,0)</f>
        <v>6010</v>
      </c>
      <c r="U111">
        <f ca="1">OFFSET(Ground!$A$2,Volume!Q111+1,1)</f>
        <v>612.602575</v>
      </c>
      <c r="V111" s="26"/>
      <c r="W111">
        <f t="shared" si="20"/>
        <v>11.334212420849635</v>
      </c>
      <c r="X111">
        <f>IF(Volume!W111&lt;'Temp Calcs'!$E$8,1,0)</f>
        <v>0</v>
      </c>
      <c r="Z111">
        <f t="shared" si="21"/>
        <v>-12.24614132977238</v>
      </c>
      <c r="AA111">
        <f>IF(Volume!Z111&gt;'Temp Calcs'!$L$8,1,0)</f>
        <v>0</v>
      </c>
      <c r="AB111" s="6"/>
      <c r="AC111" s="5"/>
    </row>
    <row r="112" spans="1:29" ht="12.75">
      <c r="A112" s="1">
        <v>111</v>
      </c>
      <c r="B112" s="1"/>
      <c r="C112" s="31">
        <f t="shared" si="27"/>
        <v>5985.9599999999955</v>
      </c>
      <c r="D112" s="26">
        <f t="shared" si="33"/>
        <v>612.6899262769881</v>
      </c>
      <c r="E112" s="31">
        <f t="shared" si="34"/>
        <v>-5.2001053185887285</v>
      </c>
      <c r="F112" s="5"/>
      <c r="G112">
        <f t="shared" si="28"/>
        <v>613.9836217146669</v>
      </c>
      <c r="H112" s="8">
        <f t="shared" si="29"/>
        <v>-1.2936954376788208</v>
      </c>
      <c r="I112" s="30">
        <f>IF(H112&lt;1,(Data!$G$16+14+0.8*Data!$G$17+Data!$G$18*(1-H112))*(1-H112),(Data!$G$16+6+Data!$G$17*(H112-0.6))*(H112-0.6))</f>
        <v>72.9105934265212</v>
      </c>
      <c r="J112" s="28">
        <f t="shared" si="16"/>
        <v>153.25608359612696</v>
      </c>
      <c r="K112" t="str">
        <f t="shared" si="30"/>
        <v>Cut</v>
      </c>
      <c r="L112" s="28">
        <f t="shared" si="31"/>
        <v>153.25608359612696</v>
      </c>
      <c r="M112" s="28">
        <f t="shared" si="32"/>
        <v>0</v>
      </c>
      <c r="N112" s="28">
        <f>SUM($L$3:L112)</f>
        <v>58217.61501664505</v>
      </c>
      <c r="O112" s="28">
        <f>SUM($M$3:M112)</f>
        <v>71260.69773647306</v>
      </c>
      <c r="Q112">
        <f>MATCH(C112,Ground!$A$3:$A$1999,1)</f>
        <v>67</v>
      </c>
      <c r="R112">
        <f ca="1">OFFSET(Ground!$A$2,Volume!Q112,0)</f>
        <v>5980</v>
      </c>
      <c r="S112">
        <f ca="1">OFFSET(Ground!$A$2,Volume!Q112,1)</f>
        <v>614.326011</v>
      </c>
      <c r="T112">
        <f ca="1">OFFSET(Ground!$A$2,Volume!Q112+1,0)</f>
        <v>6010</v>
      </c>
      <c r="U112">
        <f ca="1">OFFSET(Ground!$A$2,Volume!Q112+1,1)</f>
        <v>612.602575</v>
      </c>
      <c r="V112" s="26"/>
      <c r="W112">
        <f t="shared" si="20"/>
        <v>11.268262891209483</v>
      </c>
      <c r="X112">
        <f>IF(Volume!W112&lt;'Temp Calcs'!$E$8,1,0)</f>
        <v>0</v>
      </c>
      <c r="Z112">
        <f t="shared" si="21"/>
        <v>-12.187808315857627</v>
      </c>
      <c r="AA112">
        <f>IF(Volume!Z112&gt;'Temp Calcs'!$L$8,1,0)</f>
        <v>0</v>
      </c>
      <c r="AB112" s="6"/>
      <c r="AC112" s="5"/>
    </row>
    <row r="113" spans="1:29" ht="12.75">
      <c r="A113" s="1">
        <v>112</v>
      </c>
      <c r="B113" s="1"/>
      <c r="C113" s="31">
        <f t="shared" si="27"/>
        <v>5988.055999999995</v>
      </c>
      <c r="D113" s="26">
        <f t="shared" si="33"/>
        <v>612.5809320695106</v>
      </c>
      <c r="E113" s="31">
        <f t="shared" si="34"/>
        <v>-5.2001053185887285</v>
      </c>
      <c r="F113" s="5"/>
      <c r="G113">
        <f t="shared" si="28"/>
        <v>613.8632109861336</v>
      </c>
      <c r="H113" s="8">
        <f t="shared" si="29"/>
        <v>-1.2822789166229995</v>
      </c>
      <c r="I113" s="30">
        <f>IF(H113&lt;1,(Data!$G$16+14+0.8*Data!$G$17+Data!$G$18*(1-H113))*(1-H113),(Data!$G$16+6+Data!$G$17*(H113-0.6))*(H113-0.6))</f>
        <v>72.4955806386693</v>
      </c>
      <c r="J113" s="28">
        <f t="shared" si="16"/>
        <v>152.38567042028686</v>
      </c>
      <c r="K113" t="str">
        <f t="shared" si="30"/>
        <v>Cut</v>
      </c>
      <c r="L113" s="28">
        <f t="shared" si="31"/>
        <v>152.38567042028686</v>
      </c>
      <c r="M113" s="28">
        <f t="shared" si="32"/>
        <v>0</v>
      </c>
      <c r="N113" s="28">
        <f>SUM($L$3:L113)</f>
        <v>58370.00068706534</v>
      </c>
      <c r="O113" s="28">
        <f>SUM($M$3:M113)</f>
        <v>71260.69773647306</v>
      </c>
      <c r="Q113">
        <f>MATCH(C113,Ground!$A$3:$A$1999,1)</f>
        <v>67</v>
      </c>
      <c r="R113">
        <f ca="1">OFFSET(Ground!$A$2,Volume!Q113,0)</f>
        <v>5980</v>
      </c>
      <c r="S113">
        <f ca="1">OFFSET(Ground!$A$2,Volume!Q113,1)</f>
        <v>614.326011</v>
      </c>
      <c r="T113">
        <f ca="1">OFFSET(Ground!$A$2,Volume!Q113+1,0)</f>
        <v>6010</v>
      </c>
      <c r="U113">
        <f ca="1">OFFSET(Ground!$A$2,Volume!Q113+1,1)</f>
        <v>612.602575</v>
      </c>
      <c r="V113" s="26"/>
      <c r="W113">
        <f t="shared" si="20"/>
        <v>11.201202449823766</v>
      </c>
      <c r="X113">
        <f>IF(Volume!W113&lt;'Temp Calcs'!$E$8,1,0)</f>
        <v>0</v>
      </c>
      <c r="Z113">
        <f t="shared" si="21"/>
        <v>-12.128492689471383</v>
      </c>
      <c r="AA113">
        <f>IF(Volume!Z113&gt;'Temp Calcs'!$L$8,1,0)</f>
        <v>0</v>
      </c>
      <c r="AB113" s="6"/>
      <c r="AC113" s="5"/>
    </row>
    <row r="114" spans="1:29" ht="12.75">
      <c r="A114" s="1">
        <v>113</v>
      </c>
      <c r="B114" s="1"/>
      <c r="C114" s="31">
        <f t="shared" si="27"/>
        <v>5990.151999999995</v>
      </c>
      <c r="D114" s="26">
        <f t="shared" si="33"/>
        <v>612.471937862033</v>
      </c>
      <c r="E114" s="31">
        <f t="shared" si="34"/>
        <v>-5.2001053185887285</v>
      </c>
      <c r="F114" s="5"/>
      <c r="G114">
        <f t="shared" si="28"/>
        <v>613.7428002576003</v>
      </c>
      <c r="H114" s="8">
        <f t="shared" si="29"/>
        <v>-1.270862395567292</v>
      </c>
      <c r="I114" s="30">
        <f>IF(H114&lt;1,(Data!$G$16+14+0.8*Data!$G$17+Data!$G$18*(1-H114))*(1-H114),(Data!$G$16+6+Data!$G$17*(H114-0.6))*(H114-0.6))</f>
        <v>72.08108919863358</v>
      </c>
      <c r="J114" s="28">
        <f t="shared" si="16"/>
        <v>151.5163499894608</v>
      </c>
      <c r="K114" t="str">
        <f t="shared" si="30"/>
        <v>Cut</v>
      </c>
      <c r="L114" s="28">
        <f t="shared" si="31"/>
        <v>151.5163499894608</v>
      </c>
      <c r="M114" s="28">
        <f t="shared" si="32"/>
        <v>0</v>
      </c>
      <c r="N114" s="28">
        <f>SUM($L$3:L114)</f>
        <v>58521.5170370548</v>
      </c>
      <c r="O114" s="28">
        <f>SUM($M$3:M114)</f>
        <v>71260.69773647306</v>
      </c>
      <c r="Q114">
        <f>MATCH(C114,Ground!$A$3:$A$1999,1)</f>
        <v>67</v>
      </c>
      <c r="R114">
        <f ca="1">OFFSET(Ground!$A$2,Volume!Q114,0)</f>
        <v>5980</v>
      </c>
      <c r="S114">
        <f ca="1">OFFSET(Ground!$A$2,Volume!Q114,1)</f>
        <v>614.326011</v>
      </c>
      <c r="T114">
        <f ca="1">OFFSET(Ground!$A$2,Volume!Q114+1,0)</f>
        <v>6010</v>
      </c>
      <c r="U114">
        <f ca="1">OFFSET(Ground!$A$2,Volume!Q114+1,1)</f>
        <v>612.602575</v>
      </c>
      <c r="V114" s="26"/>
      <c r="W114">
        <f t="shared" si="20"/>
        <v>11.133002788510415</v>
      </c>
      <c r="X114">
        <f>IF(Volume!W114&lt;'Temp Calcs'!$E$8,1,0)</f>
        <v>0</v>
      </c>
      <c r="Z114">
        <f t="shared" si="21"/>
        <v>-12.068169411745515</v>
      </c>
      <c r="AA114">
        <f>IF(Volume!Z114&gt;'Temp Calcs'!$L$8,1,0)</f>
        <v>0</v>
      </c>
      <c r="AB114" s="6"/>
      <c r="AC114" s="5"/>
    </row>
    <row r="115" spans="1:29" ht="12.75">
      <c r="A115" s="1">
        <v>114</v>
      </c>
      <c r="B115" s="1"/>
      <c r="C115" s="31">
        <f t="shared" si="27"/>
        <v>5992.247999999994</v>
      </c>
      <c r="D115" s="26">
        <f t="shared" si="33"/>
        <v>612.3629436545554</v>
      </c>
      <c r="E115" s="31">
        <f t="shared" si="34"/>
        <v>-5.2001053185887285</v>
      </c>
      <c r="F115" s="5"/>
      <c r="G115">
        <f t="shared" si="28"/>
        <v>613.622389529067</v>
      </c>
      <c r="H115" s="8">
        <f t="shared" si="29"/>
        <v>-1.259445874511698</v>
      </c>
      <c r="I115" s="30">
        <f>IF(H115&lt;1,(Data!$G$16+14+0.8*Data!$G$17+Data!$G$18*(1-H115))*(1-H115),(Data!$G$16+6+Data!$G$17*(H115-0.6))*(H115-0.6))</f>
        <v>71.66711910641405</v>
      </c>
      <c r="J115" s="28">
        <f t="shared" si="16"/>
        <v>150.6481223036575</v>
      </c>
      <c r="K115" t="str">
        <f t="shared" si="30"/>
        <v>Cut</v>
      </c>
      <c r="L115" s="28">
        <f t="shared" si="31"/>
        <v>150.6481223036575</v>
      </c>
      <c r="M115" s="28">
        <f t="shared" si="32"/>
        <v>0</v>
      </c>
      <c r="N115" s="28">
        <f>SUM($L$3:L115)</f>
        <v>58672.16515935846</v>
      </c>
      <c r="O115" s="28">
        <f>SUM($M$3:M115)</f>
        <v>71260.69773647306</v>
      </c>
      <c r="Q115">
        <f>MATCH(C115,Ground!$A$3:$A$1999,1)</f>
        <v>67</v>
      </c>
      <c r="R115">
        <f ca="1">OFFSET(Ground!$A$2,Volume!Q115,0)</f>
        <v>5980</v>
      </c>
      <c r="S115">
        <f ca="1">OFFSET(Ground!$A$2,Volume!Q115,1)</f>
        <v>614.326011</v>
      </c>
      <c r="T115">
        <f ca="1">OFFSET(Ground!$A$2,Volume!Q115+1,0)</f>
        <v>6010</v>
      </c>
      <c r="U115">
        <f ca="1">OFFSET(Ground!$A$2,Volume!Q115+1,1)</f>
        <v>612.602575</v>
      </c>
      <c r="V115" s="26"/>
      <c r="W115">
        <f t="shared" si="20"/>
        <v>11.06363462905121</v>
      </c>
      <c r="X115">
        <f>IF(Volume!W115&lt;'Temp Calcs'!$E$8,1,0)</f>
        <v>0</v>
      </c>
      <c r="Z115">
        <f t="shared" si="21"/>
        <v>-12.006812585805225</v>
      </c>
      <c r="AA115">
        <f>IF(Volume!Z115&gt;'Temp Calcs'!$L$8,1,0)</f>
        <v>0</v>
      </c>
      <c r="AB115" s="6"/>
      <c r="AC115" s="5"/>
    </row>
    <row r="116" spans="1:29" ht="12.75">
      <c r="A116" s="1">
        <v>115</v>
      </c>
      <c r="B116" s="1"/>
      <c r="C116" s="31">
        <f t="shared" si="27"/>
        <v>5994.343999999994</v>
      </c>
      <c r="D116" s="26">
        <f t="shared" si="33"/>
        <v>612.2539494470777</v>
      </c>
      <c r="E116" s="31">
        <f t="shared" si="34"/>
        <v>-5.2001053185887285</v>
      </c>
      <c r="F116" s="5"/>
      <c r="G116">
        <f t="shared" si="28"/>
        <v>613.5019788005337</v>
      </c>
      <c r="H116" s="8">
        <f t="shared" si="29"/>
        <v>-1.2480293534559905</v>
      </c>
      <c r="I116" s="30">
        <f>IF(H116&lt;1,(Data!$G$16+14+0.8*Data!$G$17+Data!$G$18*(1-H116))*(1-H116),(Data!$G$16+6+Data!$G$17*(H116-0.6))*(H116-0.6))</f>
        <v>71.25367036200245</v>
      </c>
      <c r="J116" s="28">
        <f t="shared" si="16"/>
        <v>149.78098736286825</v>
      </c>
      <c r="K116" t="str">
        <f t="shared" si="30"/>
        <v>Cut</v>
      </c>
      <c r="L116" s="28">
        <f t="shared" si="31"/>
        <v>149.78098736286825</v>
      </c>
      <c r="M116" s="28">
        <f t="shared" si="32"/>
        <v>0</v>
      </c>
      <c r="N116" s="28">
        <f>SUM($L$3:L116)</f>
        <v>58821.946146721326</v>
      </c>
      <c r="O116" s="28">
        <f>SUM($M$3:M116)</f>
        <v>71260.69773647306</v>
      </c>
      <c r="Q116">
        <f>MATCH(C116,Ground!$A$3:$A$1999,1)</f>
        <v>67</v>
      </c>
      <c r="R116">
        <f ca="1">OFFSET(Ground!$A$2,Volume!Q116,0)</f>
        <v>5980</v>
      </c>
      <c r="S116">
        <f ca="1">OFFSET(Ground!$A$2,Volume!Q116,1)</f>
        <v>614.326011</v>
      </c>
      <c r="T116">
        <f ca="1">OFFSET(Ground!$A$2,Volume!Q116+1,0)</f>
        <v>6010</v>
      </c>
      <c r="U116">
        <f ca="1">OFFSET(Ground!$A$2,Volume!Q116+1,1)</f>
        <v>612.602575</v>
      </c>
      <c r="V116" s="26"/>
      <c r="W116">
        <f t="shared" si="20"/>
        <v>10.993067681282891</v>
      </c>
      <c r="X116">
        <f>IF(Volume!W116&lt;'Temp Calcs'!$E$8,1,0)</f>
        <v>0</v>
      </c>
      <c r="Z116">
        <f t="shared" si="21"/>
        <v>-11.9443954197003</v>
      </c>
      <c r="AA116">
        <f>IF(Volume!Z116&gt;'Temp Calcs'!$L$8,1,0)</f>
        <v>0</v>
      </c>
      <c r="AB116" s="6"/>
      <c r="AC116" s="5"/>
    </row>
    <row r="117" spans="1:29" ht="12.75">
      <c r="A117" s="1">
        <v>116</v>
      </c>
      <c r="B117" s="1"/>
      <c r="C117" s="31">
        <f t="shared" si="27"/>
        <v>5996.439999999993</v>
      </c>
      <c r="D117" s="26">
        <f t="shared" si="33"/>
        <v>612.1449552396001</v>
      </c>
      <c r="E117" s="31">
        <f t="shared" si="34"/>
        <v>-5.2001053185887285</v>
      </c>
      <c r="F117" s="5"/>
      <c r="G117">
        <f t="shared" si="28"/>
        <v>613.3815680720004</v>
      </c>
      <c r="H117" s="8">
        <f t="shared" si="29"/>
        <v>-1.236612832400283</v>
      </c>
      <c r="I117" s="30">
        <f>IF(H117&lt;1,(Data!$G$16+14+0.8*Data!$G$17+Data!$G$18*(1-H117))*(1-H117),(Data!$G$16+6+Data!$G$17*(H117-0.6))*(H117-0.6))</f>
        <v>70.84074296540292</v>
      </c>
      <c r="J117" s="28">
        <f t="shared" si="16"/>
        <v>148.9149451670888</v>
      </c>
      <c r="K117" t="str">
        <f t="shared" si="30"/>
        <v>Cut</v>
      </c>
      <c r="L117" s="28">
        <f t="shared" si="31"/>
        <v>148.9149451670888</v>
      </c>
      <c r="M117" s="28">
        <f t="shared" si="32"/>
        <v>0</v>
      </c>
      <c r="N117" s="28">
        <f>SUM($L$3:L117)</f>
        <v>58970.861091888415</v>
      </c>
      <c r="O117" s="28">
        <f>SUM($M$3:M117)</f>
        <v>71260.69773647306</v>
      </c>
      <c r="Q117">
        <f>MATCH(C117,Ground!$A$3:$A$1999,1)</f>
        <v>67</v>
      </c>
      <c r="R117">
        <f ca="1">OFFSET(Ground!$A$2,Volume!Q117,0)</f>
        <v>5980</v>
      </c>
      <c r="S117">
        <f ca="1">OFFSET(Ground!$A$2,Volume!Q117,1)</f>
        <v>614.326011</v>
      </c>
      <c r="T117">
        <f ca="1">OFFSET(Ground!$A$2,Volume!Q117+1,0)</f>
        <v>6010</v>
      </c>
      <c r="U117">
        <f ca="1">OFFSET(Ground!$A$2,Volume!Q117+1,1)</f>
        <v>612.602575</v>
      </c>
      <c r="V117" s="26"/>
      <c r="W117">
        <f t="shared" si="20"/>
        <v>10.921270598996095</v>
      </c>
      <c r="X117">
        <f>IF(Volume!W117&lt;'Temp Calcs'!$E$8,1,0)</f>
        <v>0</v>
      </c>
      <c r="Z117">
        <f t="shared" si="21"/>
        <v>-11.880890187397256</v>
      </c>
      <c r="AA117">
        <f>IF(Volume!Z117&gt;'Temp Calcs'!$L$8,1,0)</f>
        <v>0</v>
      </c>
      <c r="AB117" s="6"/>
      <c r="AC117" s="5"/>
    </row>
    <row r="118" spans="1:29" ht="12.75">
      <c r="A118" s="1">
        <v>117</v>
      </c>
      <c r="B118" s="1"/>
      <c r="C118" s="31">
        <f t="shared" si="27"/>
        <v>5998.535999999993</v>
      </c>
      <c r="D118" s="26">
        <f t="shared" si="33"/>
        <v>612.0359610321226</v>
      </c>
      <c r="E118" s="31">
        <f t="shared" si="34"/>
        <v>-5.2001053185887285</v>
      </c>
      <c r="F118" s="5"/>
      <c r="G118">
        <f t="shared" si="28"/>
        <v>613.2611573434671</v>
      </c>
      <c r="H118" s="8">
        <f t="shared" si="29"/>
        <v>-1.2251963113444617</v>
      </c>
      <c r="I118" s="30">
        <f>IF(H118&lt;1,(Data!$G$16+14+0.8*Data!$G$17+Data!$G$18*(1-H118))*(1-H118),(Data!$G$16+6+Data!$G$17*(H118-0.6))*(H118-0.6))</f>
        <v>70.42833691661136</v>
      </c>
      <c r="J118" s="28">
        <f t="shared" si="16"/>
        <v>148.04999571631913</v>
      </c>
      <c r="K118" t="str">
        <f t="shared" si="30"/>
        <v>Cut</v>
      </c>
      <c r="L118" s="28">
        <f t="shared" si="31"/>
        <v>148.04999571631913</v>
      </c>
      <c r="M118" s="28">
        <f t="shared" si="32"/>
        <v>0</v>
      </c>
      <c r="N118" s="28">
        <f>SUM($L$3:L118)</f>
        <v>59118.911087604734</v>
      </c>
      <c r="O118" s="28">
        <f>SUM($M$3:M118)</f>
        <v>71260.69773647306</v>
      </c>
      <c r="Q118">
        <f>MATCH(C118,Ground!$A$3:$A$1999,1)</f>
        <v>67</v>
      </c>
      <c r="R118">
        <f ca="1">OFFSET(Ground!$A$2,Volume!Q118,0)</f>
        <v>5980</v>
      </c>
      <c r="S118">
        <f ca="1">OFFSET(Ground!$A$2,Volume!Q118,1)</f>
        <v>614.326011</v>
      </c>
      <c r="T118">
        <f ca="1">OFFSET(Ground!$A$2,Volume!Q118+1,0)</f>
        <v>6010</v>
      </c>
      <c r="U118">
        <f ca="1">OFFSET(Ground!$A$2,Volume!Q118+1,1)</f>
        <v>612.602575</v>
      </c>
      <c r="V118" s="26"/>
      <c r="W118">
        <f t="shared" si="20"/>
        <v>10.84821093350766</v>
      </c>
      <c r="X118">
        <f>IF(Volume!W118&lt;'Temp Calcs'!$E$8,1,0)</f>
        <v>0</v>
      </c>
      <c r="Z118">
        <f t="shared" si="21"/>
        <v>-11.816268187713565</v>
      </c>
      <c r="AA118">
        <f>IF(Volume!Z118&gt;'Temp Calcs'!$L$8,1,0)</f>
        <v>0</v>
      </c>
      <c r="AB118" s="6"/>
      <c r="AC118" s="5"/>
    </row>
    <row r="119" spans="1:29" ht="12.75">
      <c r="A119" s="1">
        <v>118</v>
      </c>
      <c r="B119" s="1"/>
      <c r="C119" s="31">
        <f t="shared" si="27"/>
        <v>6000.631999999992</v>
      </c>
      <c r="D119" s="26">
        <f t="shared" si="33"/>
        <v>611.926966824645</v>
      </c>
      <c r="E119" s="31">
        <f t="shared" si="34"/>
        <v>-5.2001053185887285</v>
      </c>
      <c r="F119" s="5"/>
      <c r="G119">
        <f t="shared" si="28"/>
        <v>613.1407466149337</v>
      </c>
      <c r="H119" s="8">
        <f t="shared" si="29"/>
        <v>-1.2137797902887542</v>
      </c>
      <c r="I119" s="30">
        <f>IF(H119&lt;1,(Data!$G$16+14+0.8*Data!$G$17+Data!$G$18*(1-H119))*(1-H119),(Data!$G$16+6+Data!$G$17*(H119-0.6))*(H119-0.6))</f>
        <v>70.01645221563595</v>
      </c>
      <c r="J119" s="28">
        <f t="shared" si="16"/>
        <v>147.1861390105635</v>
      </c>
      <c r="K119" t="str">
        <f t="shared" si="30"/>
        <v>Cut</v>
      </c>
      <c r="L119" s="28">
        <f t="shared" si="31"/>
        <v>147.1861390105635</v>
      </c>
      <c r="M119" s="28">
        <f t="shared" si="32"/>
        <v>0</v>
      </c>
      <c r="N119" s="28">
        <f>SUM($L$3:L119)</f>
        <v>59266.0972266153</v>
      </c>
      <c r="O119" s="28">
        <f>SUM($M$3:M119)</f>
        <v>71260.69773647306</v>
      </c>
      <c r="Q119">
        <f>MATCH(C119,Ground!$A$3:$A$1999,1)</f>
        <v>67</v>
      </c>
      <c r="R119">
        <f ca="1">OFFSET(Ground!$A$2,Volume!Q119,0)</f>
        <v>5980</v>
      </c>
      <c r="S119">
        <f ca="1">OFFSET(Ground!$A$2,Volume!Q119,1)</f>
        <v>614.326011</v>
      </c>
      <c r="T119">
        <f ca="1">OFFSET(Ground!$A$2,Volume!Q119+1,0)</f>
        <v>6010</v>
      </c>
      <c r="U119">
        <f ca="1">OFFSET(Ground!$A$2,Volume!Q119+1,1)</f>
        <v>612.602575</v>
      </c>
      <c r="V119" s="26"/>
      <c r="W119">
        <f t="shared" si="20"/>
        <v>10.773855084762362</v>
      </c>
      <c r="X119">
        <f>IF(Volume!W119&lt;'Temp Calcs'!$E$8,1,0)</f>
        <v>0</v>
      </c>
      <c r="Z119">
        <f t="shared" si="21"/>
        <v>-11.750499701066737</v>
      </c>
      <c r="AA119">
        <f>IF(Volume!Z119&gt;'Temp Calcs'!$L$8,1,0)</f>
        <v>0</v>
      </c>
      <c r="AB119" s="6"/>
      <c r="AC119" s="5"/>
    </row>
    <row r="120" spans="1:29" ht="12.75">
      <c r="A120" s="1">
        <v>119</v>
      </c>
      <c r="B120" s="1"/>
      <c r="C120" s="31">
        <f t="shared" si="27"/>
        <v>6002.727999999992</v>
      </c>
      <c r="D120" s="26">
        <f t="shared" si="33"/>
        <v>611.8179726171674</v>
      </c>
      <c r="E120" s="31">
        <f t="shared" si="34"/>
        <v>-5.2001053185887285</v>
      </c>
      <c r="F120" s="5"/>
      <c r="G120">
        <f t="shared" si="28"/>
        <v>613.0203358864005</v>
      </c>
      <c r="H120" s="8">
        <f t="shared" si="29"/>
        <v>-1.2023632692331603</v>
      </c>
      <c r="I120" s="30">
        <f>IF(H120&lt;1,(Data!$G$16+14+0.8*Data!$G$17+Data!$G$18*(1-H120))*(1-H120),(Data!$G$16+6+Data!$G$17*(H120-0.6))*(H120-0.6))</f>
        <v>69.6050888624767</v>
      </c>
      <c r="J120" s="28">
        <f t="shared" si="16"/>
        <v>146.3233750498306</v>
      </c>
      <c r="K120" t="str">
        <f t="shared" si="30"/>
        <v>Cut</v>
      </c>
      <c r="L120" s="28">
        <f t="shared" si="31"/>
        <v>146.3233750498306</v>
      </c>
      <c r="M120" s="28">
        <f t="shared" si="32"/>
        <v>0</v>
      </c>
      <c r="N120" s="28">
        <f>SUM($L$3:L120)</f>
        <v>59412.42060166513</v>
      </c>
      <c r="O120" s="28">
        <f>SUM($M$3:M120)</f>
        <v>71260.69773647306</v>
      </c>
      <c r="Q120">
        <f>MATCH(C120,Ground!$A$3:$A$1999,1)</f>
        <v>67</v>
      </c>
      <c r="R120">
        <f ca="1">OFFSET(Ground!$A$2,Volume!Q120,0)</f>
        <v>5980</v>
      </c>
      <c r="S120">
        <f ca="1">OFFSET(Ground!$A$2,Volume!Q120,1)</f>
        <v>614.326011</v>
      </c>
      <c r="T120">
        <f ca="1">OFFSET(Ground!$A$2,Volume!Q120+1,0)</f>
        <v>6010</v>
      </c>
      <c r="U120">
        <f ca="1">OFFSET(Ground!$A$2,Volume!Q120+1,1)</f>
        <v>612.602575</v>
      </c>
      <c r="V120" s="26"/>
      <c r="W120">
        <f t="shared" si="20"/>
        <v>10.698168249807766</v>
      </c>
      <c r="X120">
        <f>IF(Volume!W120&lt;'Temp Calcs'!$E$8,1,0)</f>
        <v>0</v>
      </c>
      <c r="Z120">
        <f t="shared" si="21"/>
        <v>-11.683553943899696</v>
      </c>
      <c r="AA120">
        <f>IF(Volume!Z120&gt;'Temp Calcs'!$L$8,1,0)</f>
        <v>0</v>
      </c>
      <c r="AB120" s="6"/>
      <c r="AC120" s="5"/>
    </row>
    <row r="121" spans="1:29" ht="12.75">
      <c r="A121" s="1">
        <v>120</v>
      </c>
      <c r="B121" s="1"/>
      <c r="C121" s="31">
        <f t="shared" si="27"/>
        <v>6004.823999999991</v>
      </c>
      <c r="D121" s="26">
        <f t="shared" si="33"/>
        <v>611.7089784096897</v>
      </c>
      <c r="E121" s="31">
        <f t="shared" si="34"/>
        <v>-5.2001053185887285</v>
      </c>
      <c r="F121" s="5"/>
      <c r="G121">
        <f t="shared" si="28"/>
        <v>612.8999251578672</v>
      </c>
      <c r="H121" s="8">
        <f t="shared" si="29"/>
        <v>-1.1909467481774527</v>
      </c>
      <c r="I121" s="30">
        <f>IF(H121&lt;1,(Data!$G$16+14+0.8*Data!$G$17+Data!$G$18*(1-H121))*(1-H121),(Data!$G$16+6+Data!$G$17*(H121-0.6))*(H121-0.6))</f>
        <v>69.19424685712542</v>
      </c>
      <c r="J121" s="28">
        <f t="shared" si="16"/>
        <v>145.46170383411174</v>
      </c>
      <c r="K121" t="str">
        <f t="shared" si="30"/>
        <v>Cut</v>
      </c>
      <c r="L121" s="28">
        <f t="shared" si="31"/>
        <v>145.46170383411174</v>
      </c>
      <c r="M121" s="28">
        <f t="shared" si="32"/>
        <v>0</v>
      </c>
      <c r="N121" s="28">
        <f>SUM($L$3:L121)</f>
        <v>59557.88230549924</v>
      </c>
      <c r="O121" s="28">
        <f>SUM($M$3:M121)</f>
        <v>71260.69773647306</v>
      </c>
      <c r="Q121">
        <f>MATCH(C121,Ground!$A$3:$A$1999,1)</f>
        <v>67</v>
      </c>
      <c r="R121">
        <f ca="1">OFFSET(Ground!$A$2,Volume!Q121,0)</f>
        <v>5980</v>
      </c>
      <c r="S121">
        <f ca="1">OFFSET(Ground!$A$2,Volume!Q121,1)</f>
        <v>614.326011</v>
      </c>
      <c r="T121">
        <f ca="1">OFFSET(Ground!$A$2,Volume!Q121+1,0)</f>
        <v>6010</v>
      </c>
      <c r="U121">
        <f ca="1">OFFSET(Ground!$A$2,Volume!Q121+1,1)</f>
        <v>612.602575</v>
      </c>
      <c r="V121" s="26"/>
      <c r="W121">
        <f t="shared" si="20"/>
        <v>10.621114368478185</v>
      </c>
      <c r="X121">
        <f>IF(Volume!W121&lt;'Temp Calcs'!$E$8,1,0)</f>
        <v>0</v>
      </c>
      <c r="Z121">
        <f t="shared" si="21"/>
        <v>-11.615399020637778</v>
      </c>
      <c r="AA121">
        <f>IF(Volume!Z121&gt;'Temp Calcs'!$L$8,1,0)</f>
        <v>0</v>
      </c>
      <c r="AB121" s="6"/>
      <c r="AC121" s="5"/>
    </row>
    <row r="122" spans="1:29" ht="12.75">
      <c r="A122" s="1">
        <v>121</v>
      </c>
      <c r="B122" s="1"/>
      <c r="C122" s="31">
        <f t="shared" si="27"/>
        <v>6006.919999999991</v>
      </c>
      <c r="D122" s="26">
        <f t="shared" si="33"/>
        <v>611.5999842022122</v>
      </c>
      <c r="E122" s="31">
        <f t="shared" si="34"/>
        <v>-5.2001053185887285</v>
      </c>
      <c r="F122" s="5"/>
      <c r="G122">
        <f t="shared" si="28"/>
        <v>612.7795144293339</v>
      </c>
      <c r="H122" s="8">
        <f t="shared" si="29"/>
        <v>-1.1795302271216315</v>
      </c>
      <c r="I122" s="30">
        <f>IF(H122&lt;1,(Data!$G$16+14+0.8*Data!$G$17+Data!$G$18*(1-H122))*(1-H122),(Data!$G$16+6+Data!$G$17*(H122-0.6))*(H122-0.6))</f>
        <v>68.78392619958211</v>
      </c>
      <c r="J122" s="28">
        <f t="shared" si="16"/>
        <v>144.60112536339838</v>
      </c>
      <c r="K122" t="str">
        <f t="shared" si="30"/>
        <v>Cut</v>
      </c>
      <c r="L122" s="28">
        <f t="shared" si="31"/>
        <v>144.60112536339838</v>
      </c>
      <c r="M122" s="28">
        <f t="shared" si="32"/>
        <v>0</v>
      </c>
      <c r="N122" s="28">
        <f>SUM($L$3:L122)</f>
        <v>59702.48343086264</v>
      </c>
      <c r="O122" s="28">
        <f>SUM($M$3:M122)</f>
        <v>71260.69773647306</v>
      </c>
      <c r="Q122">
        <f>MATCH(C122,Ground!$A$3:$A$1999,1)</f>
        <v>67</v>
      </c>
      <c r="R122">
        <f ca="1">OFFSET(Ground!$A$2,Volume!Q122,0)</f>
        <v>5980</v>
      </c>
      <c r="S122">
        <f ca="1">OFFSET(Ground!$A$2,Volume!Q122,1)</f>
        <v>614.326011</v>
      </c>
      <c r="T122">
        <f ca="1">OFFSET(Ground!$A$2,Volume!Q122+1,0)</f>
        <v>6010</v>
      </c>
      <c r="U122">
        <f ca="1">OFFSET(Ground!$A$2,Volume!Q122+1,1)</f>
        <v>612.602575</v>
      </c>
      <c r="V122" s="26"/>
      <c r="W122">
        <f t="shared" si="20"/>
        <v>10.542656066108043</v>
      </c>
      <c r="X122">
        <f>IF(Volume!W122&lt;'Temp Calcs'!$E$8,1,0)</f>
        <v>0</v>
      </c>
      <c r="Z122">
        <f t="shared" si="21"/>
        <v>-11.546001873018085</v>
      </c>
      <c r="AA122">
        <f>IF(Volume!Z122&gt;'Temp Calcs'!$L$8,1,0)</f>
        <v>0</v>
      </c>
      <c r="AB122" s="6"/>
      <c r="AC122" s="5"/>
    </row>
    <row r="123" spans="1:29" ht="12.75">
      <c r="A123" s="1">
        <v>122</v>
      </c>
      <c r="B123" s="1"/>
      <c r="C123" s="31">
        <f t="shared" si="27"/>
        <v>6009.0159999999905</v>
      </c>
      <c r="D123" s="26">
        <f t="shared" si="33"/>
        <v>611.4909899947346</v>
      </c>
      <c r="E123" s="31">
        <f t="shared" si="34"/>
        <v>-5.2001053185887285</v>
      </c>
      <c r="F123" s="5"/>
      <c r="G123">
        <f t="shared" si="28"/>
        <v>612.6591037008005</v>
      </c>
      <c r="H123" s="8">
        <f t="shared" si="29"/>
        <v>-1.168113706065924</v>
      </c>
      <c r="I123" s="30">
        <f>IF(H123&lt;1,(Data!$G$16+14+0.8*Data!$G$17+Data!$G$18*(1-H123))*(1-H123),(Data!$G$16+6+Data!$G$17*(H123-0.6))*(H123-0.6))</f>
        <v>68.37412688985496</v>
      </c>
      <c r="J123" s="28">
        <f t="shared" si="16"/>
        <v>143.74163963769914</v>
      </c>
      <c r="K123" t="str">
        <f t="shared" si="30"/>
        <v>Cut</v>
      </c>
      <c r="L123" s="28">
        <f t="shared" si="31"/>
        <v>143.74163963769914</v>
      </c>
      <c r="M123" s="28">
        <f t="shared" si="32"/>
        <v>0</v>
      </c>
      <c r="N123" s="28">
        <f>SUM($L$3:L123)</f>
        <v>59846.22507050034</v>
      </c>
      <c r="O123" s="28">
        <f>SUM($M$3:M123)</f>
        <v>71260.69773647306</v>
      </c>
      <c r="Q123">
        <f>MATCH(C123,Ground!$A$3:$A$1999,1)</f>
        <v>67</v>
      </c>
      <c r="R123">
        <f ca="1">OFFSET(Ground!$A$2,Volume!Q123,0)</f>
        <v>5980</v>
      </c>
      <c r="S123">
        <f ca="1">OFFSET(Ground!$A$2,Volume!Q123,1)</f>
        <v>614.326011</v>
      </c>
      <c r="T123">
        <f ca="1">OFFSET(Ground!$A$2,Volume!Q123+1,0)</f>
        <v>6010</v>
      </c>
      <c r="U123">
        <f ca="1">OFFSET(Ground!$A$2,Volume!Q123+1,1)</f>
        <v>612.602575</v>
      </c>
      <c r="V123" s="26"/>
      <c r="W123">
        <f t="shared" si="20"/>
        <v>10.462754593084636</v>
      </c>
      <c r="X123">
        <f>IF(Volume!W123&lt;'Temp Calcs'!$E$8,1,0)</f>
        <v>0</v>
      </c>
      <c r="Z123">
        <f t="shared" si="21"/>
        <v>-11.475328226623402</v>
      </c>
      <c r="AA123">
        <f>IF(Volume!Z123&gt;'Temp Calcs'!$L$8,1,0)</f>
        <v>0</v>
      </c>
      <c r="AB123" s="6"/>
      <c r="AC123" s="5"/>
    </row>
    <row r="124" spans="1:29" ht="12.75">
      <c r="A124" s="1">
        <v>123</v>
      </c>
      <c r="B124" s="1"/>
      <c r="C124" s="31">
        <f t="shared" si="27"/>
        <v>6011.11199999999</v>
      </c>
      <c r="D124" s="26">
        <f t="shared" si="33"/>
        <v>611.381995787257</v>
      </c>
      <c r="E124" s="31">
        <f t="shared" si="34"/>
        <v>-5.2001053185887285</v>
      </c>
      <c r="F124" s="5"/>
      <c r="G124">
        <f t="shared" si="28"/>
        <v>612.5351103306673</v>
      </c>
      <c r="H124" s="8">
        <f t="shared" si="29"/>
        <v>-1.153114543410311</v>
      </c>
      <c r="I124" s="30">
        <f>IF(H124&lt;1,(Data!$G$16+14+0.8*Data!$G$17+Data!$G$18*(1-H124))*(1-H124),(Data!$G$16+6+Data!$G$17*(H124-0.6))*(H124-0.6))</f>
        <v>67.83652005485044</v>
      </c>
      <c r="J124" s="28">
        <f t="shared" si="16"/>
        <v>142.74875799802052</v>
      </c>
      <c r="K124" t="str">
        <f t="shared" si="30"/>
        <v>Cut</v>
      </c>
      <c r="L124" s="28">
        <f t="shared" si="31"/>
        <v>142.74875799802052</v>
      </c>
      <c r="M124" s="28">
        <f t="shared" si="32"/>
        <v>0</v>
      </c>
      <c r="N124" s="28">
        <f>SUM($L$3:L124)</f>
        <v>59988.97382849836</v>
      </c>
      <c r="O124" s="28">
        <f>SUM($M$3:M124)</f>
        <v>71260.69773647306</v>
      </c>
      <c r="Q124">
        <f>MATCH(C124,Ground!$A$3:$A$1999,1)</f>
        <v>68</v>
      </c>
      <c r="R124">
        <f ca="1">OFFSET(Ground!$A$2,Volume!Q124,0)</f>
        <v>6010</v>
      </c>
      <c r="S124">
        <f ca="1">OFFSET(Ground!$A$2,Volume!Q124,1)</f>
        <v>612.602575</v>
      </c>
      <c r="T124">
        <f ca="1">OFFSET(Ground!$A$2,Volume!Q124+1,0)</f>
        <v>6040</v>
      </c>
      <c r="U124">
        <f ca="1">OFFSET(Ground!$A$2,Volume!Q124+1,1)</f>
        <v>610.782485</v>
      </c>
      <c r="V124" s="26"/>
      <c r="W124">
        <f t="shared" si="20"/>
        <v>10.381369761033296</v>
      </c>
      <c r="X124">
        <f>IF(Volume!W124&lt;'Temp Calcs'!$E$8,1,0)</f>
        <v>0</v>
      </c>
      <c r="Z124">
        <f t="shared" si="21"/>
        <v>-11.4033425344372</v>
      </c>
      <c r="AA124">
        <f>IF(Volume!Z124&gt;'Temp Calcs'!$L$8,1,0)</f>
        <v>0</v>
      </c>
      <c r="AB124" s="6"/>
      <c r="AC124" s="5"/>
    </row>
    <row r="125" spans="1:29" ht="12.75">
      <c r="A125" s="1">
        <v>124</v>
      </c>
      <c r="B125" s="1"/>
      <c r="C125" s="31">
        <f t="shared" si="27"/>
        <v>6013.20799999999</v>
      </c>
      <c r="D125" s="26">
        <f t="shared" si="33"/>
        <v>611.2730015797794</v>
      </c>
      <c r="E125" s="31">
        <f t="shared" si="34"/>
        <v>-5.2001053185887285</v>
      </c>
      <c r="F125" s="5"/>
      <c r="G125">
        <f t="shared" si="28"/>
        <v>612.4079467093339</v>
      </c>
      <c r="H125" s="8">
        <f t="shared" si="29"/>
        <v>-1.1349451295545805</v>
      </c>
      <c r="I125" s="30">
        <f>IF(H125&lt;1,(Data!$G$16+14+0.8*Data!$G$17+Data!$G$18*(1-H125))*(1-H125),(Data!$G$16+6+Data!$G$17*(H125-0.6))*(H125-0.6))</f>
        <v>67.18648893630224</v>
      </c>
      <c r="J125" s="28">
        <f t="shared" si="16"/>
        <v>141.50411342269754</v>
      </c>
      <c r="K125" t="str">
        <f t="shared" si="30"/>
        <v>Cut</v>
      </c>
      <c r="L125" s="28">
        <f t="shared" si="31"/>
        <v>141.50411342269754</v>
      </c>
      <c r="M125" s="28">
        <f t="shared" si="32"/>
        <v>0</v>
      </c>
      <c r="N125" s="28">
        <f>SUM($L$3:L125)</f>
        <v>60130.47794192106</v>
      </c>
      <c r="O125" s="28">
        <f>SUM($M$3:M125)</f>
        <v>71260.69773647306</v>
      </c>
      <c r="Q125">
        <f>MATCH(C125,Ground!$A$3:$A$1999,1)</f>
        <v>68</v>
      </c>
      <c r="R125">
        <f ca="1">OFFSET(Ground!$A$2,Volume!Q125,0)</f>
        <v>6010</v>
      </c>
      <c r="S125">
        <f ca="1">OFFSET(Ground!$A$2,Volume!Q125,1)</f>
        <v>612.602575</v>
      </c>
      <c r="T125">
        <f ca="1">OFFSET(Ground!$A$2,Volume!Q125+1,0)</f>
        <v>6040</v>
      </c>
      <c r="U125">
        <f ca="1">OFFSET(Ground!$A$2,Volume!Q125+1,1)</f>
        <v>610.782485</v>
      </c>
      <c r="V125" s="26"/>
      <c r="W125">
        <f t="shared" si="20"/>
        <v>10.298459875416151</v>
      </c>
      <c r="X125">
        <f>IF(Volume!W125&lt;'Temp Calcs'!$E$8,1,0)</f>
        <v>0</v>
      </c>
      <c r="Z125">
        <f t="shared" si="21"/>
        <v>-11.330007917226663</v>
      </c>
      <c r="AA125">
        <f>IF(Volume!Z125&gt;'Temp Calcs'!$L$8,1,0)</f>
        <v>0</v>
      </c>
      <c r="AB125" s="6"/>
      <c r="AC125" s="5"/>
    </row>
    <row r="126" spans="1:29" ht="12.75">
      <c r="A126" s="1">
        <v>125</v>
      </c>
      <c r="B126" s="1"/>
      <c r="C126" s="31">
        <f t="shared" si="27"/>
        <v>6015.303999999989</v>
      </c>
      <c r="D126" s="26">
        <f t="shared" si="33"/>
        <v>611.1640073723017</v>
      </c>
      <c r="E126" s="31">
        <f t="shared" si="34"/>
        <v>-5.2001053185887285</v>
      </c>
      <c r="F126" s="5"/>
      <c r="G126">
        <f t="shared" si="28"/>
        <v>612.2807830880007</v>
      </c>
      <c r="H126" s="8">
        <f t="shared" si="29"/>
        <v>-1.1167757156989637</v>
      </c>
      <c r="I126" s="30">
        <f>IF(H126&lt;1,(Data!$G$16+14+0.8*Data!$G$17+Data!$G$18*(1-H126))*(1-H126),(Data!$G$16+6+Data!$G$17*(H126-0.6))*(H126-0.6))</f>
        <v>66.53777832815753</v>
      </c>
      <c r="J126" s="28">
        <f t="shared" si="16"/>
        <v>140.14303209312368</v>
      </c>
      <c r="K126" t="str">
        <f t="shared" si="30"/>
        <v>Cut</v>
      </c>
      <c r="L126" s="28">
        <f t="shared" si="31"/>
        <v>140.14303209312368</v>
      </c>
      <c r="M126" s="28">
        <f t="shared" si="32"/>
        <v>0</v>
      </c>
      <c r="N126" s="28">
        <f>SUM($L$3:L126)</f>
        <v>60270.620974014186</v>
      </c>
      <c r="O126" s="28">
        <f>SUM($M$3:M126)</f>
        <v>71260.69773647306</v>
      </c>
      <c r="Q126">
        <f>MATCH(C126,Ground!$A$3:$A$1999,1)</f>
        <v>68</v>
      </c>
      <c r="R126">
        <f ca="1">OFFSET(Ground!$A$2,Volume!Q126,0)</f>
        <v>6010</v>
      </c>
      <c r="S126">
        <f ca="1">OFFSET(Ground!$A$2,Volume!Q126,1)</f>
        <v>612.602575</v>
      </c>
      <c r="T126">
        <f ca="1">OFFSET(Ground!$A$2,Volume!Q126+1,0)</f>
        <v>6040</v>
      </c>
      <c r="U126">
        <f ca="1">OFFSET(Ground!$A$2,Volume!Q126+1,1)</f>
        <v>610.782485</v>
      </c>
      <c r="V126" s="26"/>
      <c r="W126">
        <f t="shared" si="20"/>
        <v>10.213981664305459</v>
      </c>
      <c r="X126">
        <f>IF(Volume!W126&lt;'Temp Calcs'!$E$8,1,0)</f>
        <v>0</v>
      </c>
      <c r="Z126">
        <f t="shared" si="21"/>
        <v>-11.255286100541964</v>
      </c>
      <c r="AA126">
        <f>IF(Volume!Z126&gt;'Temp Calcs'!$L$8,1,0)</f>
        <v>0</v>
      </c>
      <c r="AB126" s="6"/>
      <c r="AC126" s="5"/>
    </row>
    <row r="127" spans="1:29" ht="12.75">
      <c r="A127" s="1">
        <v>126</v>
      </c>
      <c r="B127" s="1"/>
      <c r="C127" s="31">
        <f t="shared" si="27"/>
        <v>6017.399999999989</v>
      </c>
      <c r="D127" s="26">
        <f t="shared" si="33"/>
        <v>611.0550131648242</v>
      </c>
      <c r="E127" s="31">
        <f t="shared" si="34"/>
        <v>-5.2001053185887285</v>
      </c>
      <c r="F127" s="5"/>
      <c r="G127">
        <f t="shared" si="28"/>
        <v>612.1536194666674</v>
      </c>
      <c r="H127" s="8">
        <f t="shared" si="29"/>
        <v>-1.0986063018431196</v>
      </c>
      <c r="I127" s="30">
        <f>IF(H127&lt;1,(Data!$G$16+14+0.8*Data!$G$17+Data!$G$18*(1-H127))*(1-H127),(Data!$G$16+6+Data!$G$17*(H127-0.6))*(H127-0.6))</f>
        <v>65.89038823040416</v>
      </c>
      <c r="J127" s="28">
        <f t="shared" si="16"/>
        <v>138.78471855334277</v>
      </c>
      <c r="K127" t="str">
        <f t="shared" si="30"/>
        <v>Cut</v>
      </c>
      <c r="L127" s="28">
        <f t="shared" si="31"/>
        <v>138.78471855334277</v>
      </c>
      <c r="M127" s="28">
        <f t="shared" si="32"/>
        <v>0</v>
      </c>
      <c r="N127" s="28">
        <f>SUM($L$3:L127)</f>
        <v>60409.405692567525</v>
      </c>
      <c r="O127" s="28">
        <f>SUM($M$3:M127)</f>
        <v>71260.69773647306</v>
      </c>
      <c r="Q127">
        <f>MATCH(C127,Ground!$A$3:$A$1999,1)</f>
        <v>68</v>
      </c>
      <c r="R127">
        <f ca="1">OFFSET(Ground!$A$2,Volume!Q127,0)</f>
        <v>6010</v>
      </c>
      <c r="S127">
        <f ca="1">OFFSET(Ground!$A$2,Volume!Q127,1)</f>
        <v>612.602575</v>
      </c>
      <c r="T127">
        <f ca="1">OFFSET(Ground!$A$2,Volume!Q127+1,0)</f>
        <v>6040</v>
      </c>
      <c r="U127">
        <f ca="1">OFFSET(Ground!$A$2,Volume!Q127+1,1)</f>
        <v>610.782485</v>
      </c>
      <c r="V127" s="26"/>
      <c r="W127">
        <f t="shared" si="20"/>
        <v>10.12789020307639</v>
      </c>
      <c r="X127">
        <f>IF(Volume!W127&lt;'Temp Calcs'!$E$8,1,0)</f>
        <v>0</v>
      </c>
      <c r="Z127">
        <f t="shared" si="21"/>
        <v>-11.179137348106272</v>
      </c>
      <c r="AA127">
        <f>IF(Volume!Z127&gt;'Temp Calcs'!$L$8,1,0)</f>
        <v>0</v>
      </c>
      <c r="AB127" s="6"/>
      <c r="AC127" s="5"/>
    </row>
    <row r="128" spans="1:29" ht="12.75">
      <c r="A128" s="1">
        <v>127</v>
      </c>
      <c r="B128" s="1"/>
      <c r="C128" s="31">
        <f t="shared" si="27"/>
        <v>6019.495999999988</v>
      </c>
      <c r="D128" s="26">
        <f t="shared" si="33"/>
        <v>610.9460189573466</v>
      </c>
      <c r="E128" s="31">
        <f t="shared" si="34"/>
        <v>-5.2001053185887285</v>
      </c>
      <c r="F128" s="5"/>
      <c r="G128">
        <f t="shared" si="28"/>
        <v>612.026455845334</v>
      </c>
      <c r="H128" s="8">
        <f t="shared" si="29"/>
        <v>-1.0804368879873891</v>
      </c>
      <c r="I128" s="30">
        <f>IF(H128&lt;1,(Data!$G$16+14+0.8*Data!$G$17+Data!$G$18*(1-H128))*(1-H128),(Data!$G$16+6+Data!$G$17*(H128-0.6))*(H128-0.6))</f>
        <v>65.24431864305429</v>
      </c>
      <c r="J128" s="28">
        <f t="shared" si="16"/>
        <v>137.42917280335487</v>
      </c>
      <c r="K128" t="str">
        <f t="shared" si="30"/>
        <v>Cut</v>
      </c>
      <c r="L128" s="28">
        <f t="shared" si="31"/>
        <v>137.42917280335487</v>
      </c>
      <c r="M128" s="28">
        <f t="shared" si="32"/>
        <v>0</v>
      </c>
      <c r="N128" s="28">
        <f>SUM($L$3:L128)</f>
        <v>60546.83486537088</v>
      </c>
      <c r="O128" s="28">
        <f>SUM($M$3:M128)</f>
        <v>71260.69773647306</v>
      </c>
      <c r="Q128">
        <f>MATCH(C128,Ground!$A$3:$A$1999,1)</f>
        <v>68</v>
      </c>
      <c r="R128">
        <f ca="1">OFFSET(Ground!$A$2,Volume!Q128,0)</f>
        <v>6010</v>
      </c>
      <c r="S128">
        <f ca="1">OFFSET(Ground!$A$2,Volume!Q128,1)</f>
        <v>612.602575</v>
      </c>
      <c r="T128">
        <f ca="1">OFFSET(Ground!$A$2,Volume!Q128+1,0)</f>
        <v>6040</v>
      </c>
      <c r="U128">
        <f ca="1">OFFSET(Ground!$A$2,Volume!Q128+1,1)</f>
        <v>610.782485</v>
      </c>
      <c r="V128" s="26"/>
      <c r="W128">
        <f t="shared" si="20"/>
        <v>10.040138834744376</v>
      </c>
      <c r="X128">
        <f>IF(Volume!W128&lt;'Temp Calcs'!$E$8,1,0)</f>
        <v>0</v>
      </c>
      <c r="Z128">
        <f t="shared" si="21"/>
        <v>-11.101520391353427</v>
      </c>
      <c r="AA128">
        <f>IF(Volume!Z128&gt;'Temp Calcs'!$L$8,1,0)</f>
        <v>0</v>
      </c>
      <c r="AB128" s="6"/>
      <c r="AC128" s="5"/>
    </row>
    <row r="129" spans="1:29" ht="12.75">
      <c r="A129" s="1">
        <v>128</v>
      </c>
      <c r="B129" s="1"/>
      <c r="C129" s="31">
        <f t="shared" si="27"/>
        <v>6021.591999999988</v>
      </c>
      <c r="D129" s="26">
        <f t="shared" si="33"/>
        <v>610.837024749869</v>
      </c>
      <c r="E129" s="31">
        <f t="shared" si="34"/>
        <v>-5.2001053185887285</v>
      </c>
      <c r="F129" s="5"/>
      <c r="G129">
        <f t="shared" si="28"/>
        <v>611.8992922240008</v>
      </c>
      <c r="H129" s="8">
        <f t="shared" si="29"/>
        <v>-1.0622674741317724</v>
      </c>
      <c r="I129" s="30">
        <f>IF(H129&lt;1,(Data!$G$16+14+0.8*Data!$G$17+Data!$G$18*(1-H129))*(1-H129),(Data!$G$16+6+Data!$G$17*(H129-0.6))*(H129-0.6))</f>
        <v>64.59956956610789</v>
      </c>
      <c r="J129" s="28">
        <f t="shared" si="16"/>
        <v>136.07639484317266</v>
      </c>
      <c r="K129" t="str">
        <f t="shared" si="30"/>
        <v>Cut</v>
      </c>
      <c r="L129" s="28">
        <f t="shared" si="31"/>
        <v>136.07639484317266</v>
      </c>
      <c r="M129" s="28">
        <f t="shared" si="32"/>
        <v>0</v>
      </c>
      <c r="N129" s="28">
        <f>SUM($L$3:L129)</f>
        <v>60682.91126021405</v>
      </c>
      <c r="O129" s="28">
        <f>SUM($M$3:M129)</f>
        <v>71260.69773647306</v>
      </c>
      <c r="Q129">
        <f>MATCH(C129,Ground!$A$3:$A$1999,1)</f>
        <v>68</v>
      </c>
      <c r="R129">
        <f ca="1">OFFSET(Ground!$A$2,Volume!Q129,0)</f>
        <v>6010</v>
      </c>
      <c r="S129">
        <f ca="1">OFFSET(Ground!$A$2,Volume!Q129,1)</f>
        <v>612.602575</v>
      </c>
      <c r="T129">
        <f ca="1">OFFSET(Ground!$A$2,Volume!Q129+1,0)</f>
        <v>6040</v>
      </c>
      <c r="U129">
        <f ca="1">OFFSET(Ground!$A$2,Volume!Q129+1,1)</f>
        <v>610.782485</v>
      </c>
      <c r="V129" s="26"/>
      <c r="W129">
        <f t="shared" si="20"/>
        <v>9.950679085648705</v>
      </c>
      <c r="X129">
        <f>IF(Volume!W129&lt;'Temp Calcs'!$E$8,1,0)</f>
        <v>0</v>
      </c>
      <c r="Z129">
        <f t="shared" si="21"/>
        <v>-11.022392354849114</v>
      </c>
      <c r="AA129">
        <f>IF(Volume!Z129&gt;'Temp Calcs'!$L$8,1,0)</f>
        <v>0</v>
      </c>
      <c r="AB129" s="6"/>
      <c r="AC129" s="5"/>
    </row>
    <row r="130" spans="1:29" ht="12.75">
      <c r="A130" s="1">
        <v>129</v>
      </c>
      <c r="B130" s="1"/>
      <c r="C130" s="31">
        <f t="shared" si="27"/>
        <v>6023.687999999987</v>
      </c>
      <c r="D130" s="26">
        <f t="shared" si="33"/>
        <v>610.7280305423914</v>
      </c>
      <c r="E130" s="31">
        <f t="shared" si="34"/>
        <v>-5.2001053185887285</v>
      </c>
      <c r="F130" s="5"/>
      <c r="G130">
        <f t="shared" si="28"/>
        <v>611.7721286026674</v>
      </c>
      <c r="H130" s="8">
        <f t="shared" si="29"/>
        <v>-1.044098060276042</v>
      </c>
      <c r="I130" s="30">
        <f>IF(H130&lt;1,(Data!$G$16+14+0.8*Data!$G$17+Data!$G$18*(1-H130))*(1-H130),(Data!$G$16+6+Data!$G$17*(H130-0.6))*(H130-0.6))</f>
        <v>63.956140999556894</v>
      </c>
      <c r="J130" s="28">
        <f t="shared" si="16"/>
        <v>134.7263846727877</v>
      </c>
      <c r="K130" t="str">
        <f t="shared" si="30"/>
        <v>Cut</v>
      </c>
      <c r="L130" s="28">
        <f t="shared" si="31"/>
        <v>134.7263846727877</v>
      </c>
      <c r="M130" s="28">
        <f t="shared" si="32"/>
        <v>0</v>
      </c>
      <c r="N130" s="28">
        <f>SUM($L$3:L130)</f>
        <v>60817.63764488684</v>
      </c>
      <c r="O130" s="28">
        <f>SUM($M$3:M130)</f>
        <v>71260.69773647306</v>
      </c>
      <c r="Q130">
        <f>MATCH(C130,Ground!$A$3:$A$1999,1)</f>
        <v>68</v>
      </c>
      <c r="R130">
        <f ca="1">OFFSET(Ground!$A$2,Volume!Q130,0)</f>
        <v>6010</v>
      </c>
      <c r="S130">
        <f ca="1">OFFSET(Ground!$A$2,Volume!Q130,1)</f>
        <v>612.602575</v>
      </c>
      <c r="T130">
        <f ca="1">OFFSET(Ground!$A$2,Volume!Q130+1,0)</f>
        <v>6040</v>
      </c>
      <c r="U130">
        <f ca="1">OFFSET(Ground!$A$2,Volume!Q130+1,1)</f>
        <v>610.782485</v>
      </c>
      <c r="V130" s="26"/>
      <c r="W130">
        <f t="shared" si="20"/>
        <v>9.859460576164244</v>
      </c>
      <c r="X130">
        <f>IF(Volume!W130&lt;'Temp Calcs'!$E$8,1,0)</f>
        <v>0</v>
      </c>
      <c r="Z130">
        <f t="shared" si="21"/>
        <v>-10.94170867731458</v>
      </c>
      <c r="AA130">
        <f>IF(Volume!Z130&gt;'Temp Calcs'!$L$8,1,0)</f>
        <v>0</v>
      </c>
      <c r="AB130" s="6"/>
      <c r="AC130" s="5"/>
    </row>
    <row r="131" spans="1:29" ht="12.75">
      <c r="A131" s="1">
        <v>130</v>
      </c>
      <c r="B131" s="1"/>
      <c r="C131" s="31">
        <f t="shared" si="27"/>
        <v>6025.783999999987</v>
      </c>
      <c r="D131" s="26">
        <f t="shared" si="33"/>
        <v>610.6190363349139</v>
      </c>
      <c r="E131" s="31">
        <f t="shared" si="34"/>
        <v>-5.2001053185887285</v>
      </c>
      <c r="F131" s="5"/>
      <c r="G131">
        <f t="shared" si="28"/>
        <v>611.644964981334</v>
      </c>
      <c r="H131" s="8">
        <f t="shared" si="29"/>
        <v>-1.0259286464201978</v>
      </c>
      <c r="I131" s="30">
        <f>IF(H131&lt;1,(Data!$G$16+14+0.8*Data!$G$17+Data!$G$18*(1-H131))*(1-H131),(Data!$G$16+6+Data!$G$17*(H131-0.6))*(H131-0.6))</f>
        <v>63.31403294340133</v>
      </c>
      <c r="J131" s="28">
        <f t="shared" si="16"/>
        <v>133.37914229219152</v>
      </c>
      <c r="K131" t="str">
        <f t="shared" si="30"/>
        <v>Cut</v>
      </c>
      <c r="L131" s="28">
        <f t="shared" si="31"/>
        <v>133.37914229219152</v>
      </c>
      <c r="M131" s="28">
        <f t="shared" si="32"/>
        <v>0</v>
      </c>
      <c r="N131" s="28">
        <f>SUM($L$3:L131)</f>
        <v>60951.01678717903</v>
      </c>
      <c r="O131" s="28">
        <f>SUM($M$3:M131)</f>
        <v>71260.69773647306</v>
      </c>
      <c r="Q131">
        <f>MATCH(C131,Ground!$A$3:$A$1999,1)</f>
        <v>68</v>
      </c>
      <c r="R131">
        <f ca="1">OFFSET(Ground!$A$2,Volume!Q131,0)</f>
        <v>6010</v>
      </c>
      <c r="S131">
        <f ca="1">OFFSET(Ground!$A$2,Volume!Q131,1)</f>
        <v>612.602575</v>
      </c>
      <c r="T131">
        <f ca="1">OFFSET(Ground!$A$2,Volume!Q131+1,0)</f>
        <v>6040</v>
      </c>
      <c r="U131">
        <f ca="1">OFFSET(Ground!$A$2,Volume!Q131+1,1)</f>
        <v>610.782485</v>
      </c>
      <c r="V131" s="26"/>
      <c r="W131">
        <f aca="true" t="shared" si="35" ref="W131:W194">($W$1-C131)/(D131-$X$1)</f>
        <v>9.766430926094067</v>
      </c>
      <c r="X131">
        <f>IF(Volume!W131&lt;'Temp Calcs'!$E$8,1,0)</f>
        <v>0</v>
      </c>
      <c r="Z131">
        <f aca="true" t="shared" si="36" ref="Z131:Z194">(C131-$Z$1)/(D131-$AA$1)</f>
        <v>-10.85942302794543</v>
      </c>
      <c r="AA131">
        <f>IF(Volume!Z131&gt;'Temp Calcs'!$L$8,1,0)</f>
        <v>0</v>
      </c>
      <c r="AB131" s="6"/>
      <c r="AC131" s="5"/>
    </row>
    <row r="132" spans="1:29" ht="12.75">
      <c r="A132" s="1">
        <v>131</v>
      </c>
      <c r="B132" s="1"/>
      <c r="C132" s="31">
        <f t="shared" si="27"/>
        <v>6027.8799999999865</v>
      </c>
      <c r="D132" s="26">
        <f t="shared" si="33"/>
        <v>610.5100421274362</v>
      </c>
      <c r="E132" s="31">
        <f t="shared" si="34"/>
        <v>-5.2001053185887285</v>
      </c>
      <c r="F132" s="5"/>
      <c r="G132">
        <f t="shared" si="28"/>
        <v>611.5178013600008</v>
      </c>
      <c r="H132" s="8">
        <f t="shared" si="29"/>
        <v>-1.007759232564581</v>
      </c>
      <c r="I132" s="30">
        <f>IF(H132&lt;1,(Data!$G$16+14+0.8*Data!$G$17+Data!$G$18*(1-H132))*(1-H132),(Data!$G$16+6+Data!$G$17*(H132-0.6))*(H132-0.6))</f>
        <v>62.67324539765323</v>
      </c>
      <c r="J132" s="28">
        <f t="shared" si="16"/>
        <v>132.03466770139676</v>
      </c>
      <c r="K132" t="str">
        <f t="shared" si="30"/>
        <v>Cut</v>
      </c>
      <c r="L132" s="28">
        <f t="shared" si="31"/>
        <v>132.03466770139676</v>
      </c>
      <c r="M132" s="28">
        <f t="shared" si="32"/>
        <v>0</v>
      </c>
      <c r="N132" s="28">
        <f>SUM($L$3:L132)</f>
        <v>61083.05145488043</v>
      </c>
      <c r="O132" s="28">
        <f>SUM($M$3:M132)</f>
        <v>71260.69773647306</v>
      </c>
      <c r="Q132">
        <f>MATCH(C132,Ground!$A$3:$A$1999,1)</f>
        <v>68</v>
      </c>
      <c r="R132">
        <f ca="1">OFFSET(Ground!$A$2,Volume!Q132,0)</f>
        <v>6010</v>
      </c>
      <c r="S132">
        <f ca="1">OFFSET(Ground!$A$2,Volume!Q132,1)</f>
        <v>612.602575</v>
      </c>
      <c r="T132">
        <f ca="1">OFFSET(Ground!$A$2,Volume!Q132+1,0)</f>
        <v>6040</v>
      </c>
      <c r="U132">
        <f ca="1">OFFSET(Ground!$A$2,Volume!Q132+1,1)</f>
        <v>610.782485</v>
      </c>
      <c r="V132" s="26"/>
      <c r="W132">
        <f t="shared" si="35"/>
        <v>9.671535654370933</v>
      </c>
      <c r="X132">
        <f>IF(Volume!W132&lt;'Temp Calcs'!$E$8,1,0)</f>
        <v>0</v>
      </c>
      <c r="Z132">
        <f t="shared" si="36"/>
        <v>-10.775487217696682</v>
      </c>
      <c r="AA132">
        <f>IF(Volume!Z132&gt;'Temp Calcs'!$L$8,1,0)</f>
        <v>0</v>
      </c>
      <c r="AB132" s="6"/>
      <c r="AC132" s="5"/>
    </row>
    <row r="133" spans="1:29" ht="12.75">
      <c r="A133" s="1">
        <v>132</v>
      </c>
      <c r="B133" s="1"/>
      <c r="C133" s="31">
        <f t="shared" si="27"/>
        <v>6029.975999999986</v>
      </c>
      <c r="D133" s="26">
        <f t="shared" si="33"/>
        <v>610.4010479199586</v>
      </c>
      <c r="E133" s="31">
        <f t="shared" si="34"/>
        <v>-5.2001053185887285</v>
      </c>
      <c r="F133" s="5"/>
      <c r="G133">
        <f t="shared" si="28"/>
        <v>611.3906377386675</v>
      </c>
      <c r="H133" s="8">
        <f t="shared" si="29"/>
        <v>-0.9895898187088505</v>
      </c>
      <c r="I133" s="30">
        <f>IF(H133&lt;1,(Data!$G$16+14+0.8*Data!$G$17+Data!$G$18*(1-H133))*(1-H133),(Data!$G$16+6+Data!$G$17*(H133-0.6))*(H133-0.6))</f>
        <v>62.033778362300566</v>
      </c>
      <c r="J133" s="28">
        <f t="shared" si="16"/>
        <v>130.69296090040345</v>
      </c>
      <c r="K133" t="str">
        <f t="shared" si="30"/>
        <v>Cut</v>
      </c>
      <c r="L133" s="28">
        <f t="shared" si="31"/>
        <v>130.69296090040345</v>
      </c>
      <c r="M133" s="28">
        <f t="shared" si="32"/>
        <v>0</v>
      </c>
      <c r="N133" s="28">
        <f>SUM($L$3:L133)</f>
        <v>61213.74441578083</v>
      </c>
      <c r="O133" s="28">
        <f>SUM($M$3:M133)</f>
        <v>71260.69773647306</v>
      </c>
      <c r="Q133">
        <f>MATCH(C133,Ground!$A$3:$A$1999,1)</f>
        <v>68</v>
      </c>
      <c r="R133">
        <f ca="1">OFFSET(Ground!$A$2,Volume!Q133,0)</f>
        <v>6010</v>
      </c>
      <c r="S133">
        <f ca="1">OFFSET(Ground!$A$2,Volume!Q133,1)</f>
        <v>612.602575</v>
      </c>
      <c r="T133">
        <f ca="1">OFFSET(Ground!$A$2,Volume!Q133+1,0)</f>
        <v>6040</v>
      </c>
      <c r="U133">
        <f ca="1">OFFSET(Ground!$A$2,Volume!Q133+1,1)</f>
        <v>610.782485</v>
      </c>
      <c r="V133" s="26"/>
      <c r="W133">
        <f t="shared" si="35"/>
        <v>9.574718072662419</v>
      </c>
      <c r="X133">
        <f>IF(Volume!W133&lt;'Temp Calcs'!$E$8,1,0)</f>
        <v>0</v>
      </c>
      <c r="Z133">
        <f t="shared" si="36"/>
        <v>-10.68985110517531</v>
      </c>
      <c r="AA133">
        <f>IF(Volume!Z133&gt;'Temp Calcs'!$L$8,1,0)</f>
        <v>0</v>
      </c>
      <c r="AB133" s="6"/>
      <c r="AC133" s="5"/>
    </row>
    <row r="134" spans="1:29" ht="12.75">
      <c r="A134" s="1">
        <v>133</v>
      </c>
      <c r="B134" s="1"/>
      <c r="C134" s="31">
        <f t="shared" si="27"/>
        <v>6032.071999999986</v>
      </c>
      <c r="D134" s="26">
        <f t="shared" si="33"/>
        <v>610.292053712481</v>
      </c>
      <c r="E134" s="31">
        <f t="shared" si="34"/>
        <v>-5.2001053185887285</v>
      </c>
      <c r="F134" s="5"/>
      <c r="G134">
        <f t="shared" si="28"/>
        <v>611.2634741173342</v>
      </c>
      <c r="H134" s="8">
        <f t="shared" si="29"/>
        <v>-0.9714204048532338</v>
      </c>
      <c r="I134" s="30">
        <f>IF(H134&lt;1,(Data!$G$16+14+0.8*Data!$G$17+Data!$G$18*(1-H134))*(1-H134),(Data!$G$16+6+Data!$G$17*(H134-0.6))*(H134-0.6))</f>
        <v>61.39563183735133</v>
      </c>
      <c r="J134" s="28">
        <f t="shared" si="16"/>
        <v>129.35402188920736</v>
      </c>
      <c r="K134" t="str">
        <f t="shared" si="30"/>
        <v>Cut</v>
      </c>
      <c r="L134" s="28">
        <f t="shared" si="31"/>
        <v>129.35402188920736</v>
      </c>
      <c r="M134" s="28">
        <f t="shared" si="32"/>
        <v>0</v>
      </c>
      <c r="N134" s="28">
        <f>SUM($L$3:L134)</f>
        <v>61343.098437670036</v>
      </c>
      <c r="O134" s="28">
        <f>SUM($M$3:M134)</f>
        <v>71260.69773647306</v>
      </c>
      <c r="Q134">
        <f>MATCH(C134,Ground!$A$3:$A$1999,1)</f>
        <v>68</v>
      </c>
      <c r="R134">
        <f ca="1">OFFSET(Ground!$A$2,Volume!Q134,0)</f>
        <v>6010</v>
      </c>
      <c r="S134">
        <f ca="1">OFFSET(Ground!$A$2,Volume!Q134,1)</f>
        <v>612.602575</v>
      </c>
      <c r="T134">
        <f ca="1">OFFSET(Ground!$A$2,Volume!Q134+1,0)</f>
        <v>6040</v>
      </c>
      <c r="U134">
        <f ca="1">OFFSET(Ground!$A$2,Volume!Q134+1,1)</f>
        <v>610.782485</v>
      </c>
      <c r="V134" s="26"/>
      <c r="W134">
        <f t="shared" si="35"/>
        <v>9.475919172445183</v>
      </c>
      <c r="X134">
        <f>IF(Volume!W134&lt;'Temp Calcs'!$E$8,1,0)</f>
        <v>0</v>
      </c>
      <c r="Z134">
        <f t="shared" si="36"/>
        <v>-10.6024624967564</v>
      </c>
      <c r="AA134">
        <f>IF(Volume!Z134&gt;'Temp Calcs'!$L$8,1,0)</f>
        <v>0</v>
      </c>
      <c r="AB134" s="6"/>
      <c r="AC134" s="5"/>
    </row>
    <row r="135" spans="1:29" ht="12.75">
      <c r="A135" s="1">
        <v>134</v>
      </c>
      <c r="B135" s="1"/>
      <c r="C135" s="31">
        <f aca="true" t="shared" si="37" ref="C135:C151">C134+($C$152-$C$102)/50</f>
        <v>6034.167999999985</v>
      </c>
      <c r="D135" s="26">
        <f aca="true" t="shared" si="38" ref="D135:D151">$D$102+($D$152-$D$102)*(C135-$C$102)/($C$152-$C$102)</f>
        <v>610.1830595050035</v>
      </c>
      <c r="E135" s="31">
        <f t="shared" si="34"/>
        <v>-5.2001053185887285</v>
      </c>
      <c r="F135" s="5"/>
      <c r="G135">
        <f t="shared" si="28"/>
        <v>611.1363104960009</v>
      </c>
      <c r="H135" s="8">
        <f t="shared" si="29"/>
        <v>-0.9532509909973896</v>
      </c>
      <c r="I135" s="30">
        <f>IF(H135&lt;1,(Data!$G$16+14+0.8*Data!$G$17+Data!$G$18*(1-H135))*(1-H135),(Data!$G$16+6+Data!$G$17*(H135-0.6))*(H135-0.6))</f>
        <v>60.75880582279357</v>
      </c>
      <c r="J135" s="28">
        <f t="shared" si="16"/>
        <v>128.0178506678043</v>
      </c>
      <c r="K135" t="str">
        <f t="shared" si="30"/>
        <v>Cut</v>
      </c>
      <c r="L135" s="28">
        <f t="shared" si="31"/>
        <v>128.0178506678043</v>
      </c>
      <c r="M135" s="28">
        <f t="shared" si="32"/>
        <v>0</v>
      </c>
      <c r="N135" s="28">
        <f>SUM($L$3:L135)</f>
        <v>61471.11628833784</v>
      </c>
      <c r="O135" s="28">
        <f>SUM($M$3:M135)</f>
        <v>71260.69773647306</v>
      </c>
      <c r="Q135">
        <f>MATCH(C135,Ground!$A$3:$A$1999,1)</f>
        <v>68</v>
      </c>
      <c r="R135">
        <f ca="1">OFFSET(Ground!$A$2,Volume!Q135,0)</f>
        <v>6010</v>
      </c>
      <c r="S135">
        <f ca="1">OFFSET(Ground!$A$2,Volume!Q135,1)</f>
        <v>612.602575</v>
      </c>
      <c r="T135">
        <f ca="1">OFFSET(Ground!$A$2,Volume!Q135+1,0)</f>
        <v>6040</v>
      </c>
      <c r="U135">
        <f ca="1">OFFSET(Ground!$A$2,Volume!Q135+1,1)</f>
        <v>610.782485</v>
      </c>
      <c r="V135" s="26"/>
      <c r="W135">
        <f t="shared" si="35"/>
        <v>9.375077505074017</v>
      </c>
      <c r="X135">
        <f>IF(Volume!W135&lt;'Temp Calcs'!$E$8,1,0)</f>
        <v>0</v>
      </c>
      <c r="Z135">
        <f t="shared" si="36"/>
        <v>-10.513267040502996</v>
      </c>
      <c r="AA135">
        <f>IF(Volume!Z135&gt;'Temp Calcs'!$L$8,1,0)</f>
        <v>0</v>
      </c>
      <c r="AB135" s="6"/>
      <c r="AC135" s="5"/>
    </row>
    <row r="136" spans="1:29" ht="12.75">
      <c r="A136" s="1">
        <v>135</v>
      </c>
      <c r="B136" s="1"/>
      <c r="C136" s="31">
        <f t="shared" si="37"/>
        <v>6036.263999999985</v>
      </c>
      <c r="D136" s="26">
        <f t="shared" si="38"/>
        <v>610.0740652975259</v>
      </c>
      <c r="E136" s="31">
        <f t="shared" si="34"/>
        <v>-5.2001053185887285</v>
      </c>
      <c r="F136" s="5"/>
      <c r="G136">
        <f t="shared" si="28"/>
        <v>611.0091468746675</v>
      </c>
      <c r="H136" s="8">
        <f t="shared" si="29"/>
        <v>-0.9350815771416592</v>
      </c>
      <c r="I136" s="30">
        <f>IF(H136&lt;1,(Data!$G$16+14+0.8*Data!$G$17+Data!$G$18*(1-H136))*(1-H136),(Data!$G$16+6+Data!$G$17*(H136-0.6))*(H136-0.6))</f>
        <v>60.12330031863923</v>
      </c>
      <c r="J136" s="28">
        <f t="shared" si="16"/>
        <v>126.6844472361943</v>
      </c>
      <c r="K136" t="str">
        <f t="shared" si="30"/>
        <v>Cut</v>
      </c>
      <c r="L136" s="28">
        <f t="shared" si="31"/>
        <v>126.6844472361943</v>
      </c>
      <c r="M136" s="28">
        <f t="shared" si="32"/>
        <v>0</v>
      </c>
      <c r="N136" s="28">
        <f>SUM($L$3:L136)</f>
        <v>61597.800735574034</v>
      </c>
      <c r="O136" s="28">
        <f>SUM($M$3:M136)</f>
        <v>71260.69773647306</v>
      </c>
      <c r="Q136">
        <f>MATCH(C136,Ground!$A$3:$A$1999,1)</f>
        <v>68</v>
      </c>
      <c r="R136">
        <f ca="1">OFFSET(Ground!$A$2,Volume!Q136,0)</f>
        <v>6010</v>
      </c>
      <c r="S136">
        <f ca="1">OFFSET(Ground!$A$2,Volume!Q136,1)</f>
        <v>612.602575</v>
      </c>
      <c r="T136">
        <f ca="1">OFFSET(Ground!$A$2,Volume!Q136+1,0)</f>
        <v>6040</v>
      </c>
      <c r="U136">
        <f ca="1">OFFSET(Ground!$A$2,Volume!Q136+1,1)</f>
        <v>610.782485</v>
      </c>
      <c r="V136" s="26"/>
      <c r="W136">
        <f t="shared" si="35"/>
        <v>9.272129054334743</v>
      </c>
      <c r="X136">
        <f>IF(Volume!W136&lt;'Temp Calcs'!$E$8,1,0)</f>
        <v>0</v>
      </c>
      <c r="Z136">
        <f t="shared" si="36"/>
        <v>-10.422208113437952</v>
      </c>
      <c r="AA136">
        <f>IF(Volume!Z136&gt;'Temp Calcs'!$L$8,1,0)</f>
        <v>0</v>
      </c>
      <c r="AB136" s="6"/>
      <c r="AC136" s="5"/>
    </row>
    <row r="137" spans="1:29" ht="12.75">
      <c r="A137" s="1">
        <v>136</v>
      </c>
      <c r="B137" s="1"/>
      <c r="C137" s="31">
        <f t="shared" si="37"/>
        <v>6038.359999999984</v>
      </c>
      <c r="D137" s="26">
        <f t="shared" si="38"/>
        <v>609.9650710900482</v>
      </c>
      <c r="E137" s="31">
        <f t="shared" si="34"/>
        <v>-5.2001053185887285</v>
      </c>
      <c r="F137" s="5"/>
      <c r="G137">
        <f t="shared" si="28"/>
        <v>610.8819832533343</v>
      </c>
      <c r="H137" s="8">
        <f t="shared" si="29"/>
        <v>-0.9169121632860424</v>
      </c>
      <c r="I137" s="30">
        <f>IF(H137&lt;1,(Data!$G$16+14+0.8*Data!$G$17+Data!$G$18*(1-H137))*(1-H137),(Data!$G$16+6+Data!$G$17*(H137-0.6))*(H137-0.6))</f>
        <v>59.4891153248883</v>
      </c>
      <c r="J137" s="28">
        <f t="shared" si="16"/>
        <v>125.35381159438987</v>
      </c>
      <c r="K137" t="str">
        <f t="shared" si="30"/>
        <v>Cut</v>
      </c>
      <c r="L137" s="28">
        <f t="shared" si="31"/>
        <v>125.35381159438987</v>
      </c>
      <c r="M137" s="28">
        <f t="shared" si="32"/>
        <v>0</v>
      </c>
      <c r="N137" s="28">
        <f>SUM($L$3:L137)</f>
        <v>61723.15454716842</v>
      </c>
      <c r="O137" s="28">
        <f>SUM($M$3:M137)</f>
        <v>71260.69773647306</v>
      </c>
      <c r="Q137">
        <f>MATCH(C137,Ground!$A$3:$A$1999,1)</f>
        <v>68</v>
      </c>
      <c r="R137">
        <f ca="1">OFFSET(Ground!$A$2,Volume!Q137,0)</f>
        <v>6010</v>
      </c>
      <c r="S137">
        <f ca="1">OFFSET(Ground!$A$2,Volume!Q137,1)</f>
        <v>612.602575</v>
      </c>
      <c r="T137">
        <f ca="1">OFFSET(Ground!$A$2,Volume!Q137+1,0)</f>
        <v>6040</v>
      </c>
      <c r="U137">
        <f ca="1">OFFSET(Ground!$A$2,Volume!Q137+1,1)</f>
        <v>610.782485</v>
      </c>
      <c r="V137" s="26"/>
      <c r="W137">
        <f t="shared" si="35"/>
        <v>9.16700710092386</v>
      </c>
      <c r="X137">
        <f>IF(Volume!W137&lt;'Temp Calcs'!$E$8,1,0)</f>
        <v>0</v>
      </c>
      <c r="Z137">
        <f t="shared" si="36"/>
        <v>-10.329226701674708</v>
      </c>
      <c r="AA137">
        <f>IF(Volume!Z137&gt;'Temp Calcs'!$L$8,1,0)</f>
        <v>0</v>
      </c>
      <c r="AB137" s="6"/>
      <c r="AC137" s="5"/>
    </row>
    <row r="138" spans="1:29" ht="12.75">
      <c r="A138" s="1">
        <v>137</v>
      </c>
      <c r="B138" s="1"/>
      <c r="C138" s="31">
        <f t="shared" si="37"/>
        <v>6040.455999999984</v>
      </c>
      <c r="D138" s="26">
        <f t="shared" si="38"/>
        <v>609.8560768825706</v>
      </c>
      <c r="E138" s="31">
        <f t="shared" si="34"/>
        <v>-5.2001053185887285</v>
      </c>
      <c r="F138" s="5"/>
      <c r="G138">
        <f t="shared" si="28"/>
        <v>610.753675254401</v>
      </c>
      <c r="H138" s="8">
        <f t="shared" si="29"/>
        <v>-0.8975983718303269</v>
      </c>
      <c r="I138" s="30">
        <f>IF(H138&lt;1,(Data!$G$16+14+0.8*Data!$G$17+Data!$G$18*(1-H138))*(1-H138),(Data!$G$16+6+Data!$G$17*(H138-0.6))*(H138-0.6))</f>
        <v>58.816434875331105</v>
      </c>
      <c r="J138" s="28">
        <f t="shared" si="16"/>
        <v>123.98421660980327</v>
      </c>
      <c r="K138" t="str">
        <f t="shared" si="30"/>
        <v>Cut</v>
      </c>
      <c r="L138" s="28">
        <f t="shared" si="31"/>
        <v>123.98421660980327</v>
      </c>
      <c r="M138" s="28">
        <f t="shared" si="32"/>
        <v>0</v>
      </c>
      <c r="N138" s="28">
        <f>SUM($L$3:L138)</f>
        <v>61847.138763778225</v>
      </c>
      <c r="O138" s="28">
        <f>SUM($M$3:M138)</f>
        <v>71260.69773647306</v>
      </c>
      <c r="Q138">
        <f>MATCH(C138,Ground!$A$3:$A$1999,1)</f>
        <v>69</v>
      </c>
      <c r="R138">
        <f ca="1">OFFSET(Ground!$A$2,Volume!Q138,0)</f>
        <v>6040</v>
      </c>
      <c r="S138">
        <f ca="1">OFFSET(Ground!$A$2,Volume!Q138,1)</f>
        <v>610.782485</v>
      </c>
      <c r="T138">
        <f ca="1">OFFSET(Ground!$A$2,Volume!Q138+1,0)</f>
        <v>6070</v>
      </c>
      <c r="U138">
        <f ca="1">OFFSET(Ground!$A$2,Volume!Q138+1,1)</f>
        <v>608.887107</v>
      </c>
      <c r="V138" s="26"/>
      <c r="W138">
        <f t="shared" si="35"/>
        <v>9.059642078254157</v>
      </c>
      <c r="X138">
        <f>IF(Volume!W138&lt;'Temp Calcs'!$E$8,1,0)</f>
        <v>0</v>
      </c>
      <c r="Z138">
        <f t="shared" si="36"/>
        <v>-10.234261272876006</v>
      </c>
      <c r="AA138">
        <f>IF(Volume!Z138&gt;'Temp Calcs'!$L$8,1,0)</f>
        <v>0</v>
      </c>
      <c r="AB138" s="6"/>
      <c r="AC138" s="5"/>
    </row>
    <row r="139" spans="1:29" ht="12.75">
      <c r="A139" s="1">
        <v>138</v>
      </c>
      <c r="B139" s="1"/>
      <c r="C139" s="31">
        <f t="shared" si="37"/>
        <v>6042.551999999983</v>
      </c>
      <c r="D139" s="26">
        <f t="shared" si="38"/>
        <v>609.747082675093</v>
      </c>
      <c r="E139" s="31">
        <f t="shared" si="34"/>
        <v>-5.2001053185887285</v>
      </c>
      <c r="F139" s="5"/>
      <c r="G139">
        <f t="shared" si="28"/>
        <v>610.6212515114677</v>
      </c>
      <c r="H139" s="8">
        <f t="shared" si="29"/>
        <v>-0.8741688363746789</v>
      </c>
      <c r="I139" s="30">
        <f>IF(H139&lt;1,(Data!$G$16+14+0.8*Data!$G$17+Data!$G$18*(1-H139))*(1-H139),(Data!$G$16+6+Data!$G$17*(H139-0.6))*(H139-0.6))</f>
        <v>58.002410003867304</v>
      </c>
      <c r="J139" s="28">
        <f t="shared" si="16"/>
        <v>122.42614943337358</v>
      </c>
      <c r="K139" t="str">
        <f t="shared" si="30"/>
        <v>Cut</v>
      </c>
      <c r="L139" s="28">
        <f t="shared" si="31"/>
        <v>122.42614943337358</v>
      </c>
      <c r="M139" s="28">
        <f t="shared" si="32"/>
        <v>0</v>
      </c>
      <c r="N139" s="28">
        <f>SUM($L$3:L139)</f>
        <v>61969.5649132116</v>
      </c>
      <c r="O139" s="28">
        <f>SUM($M$3:M139)</f>
        <v>71260.69773647306</v>
      </c>
      <c r="Q139">
        <f>MATCH(C139,Ground!$A$3:$A$1999,1)</f>
        <v>69</v>
      </c>
      <c r="R139">
        <f ca="1">OFFSET(Ground!$A$2,Volume!Q139,0)</f>
        <v>6040</v>
      </c>
      <c r="S139">
        <f ca="1">OFFSET(Ground!$A$2,Volume!Q139,1)</f>
        <v>610.782485</v>
      </c>
      <c r="T139">
        <f ca="1">OFFSET(Ground!$A$2,Volume!Q139+1,0)</f>
        <v>6070</v>
      </c>
      <c r="U139">
        <f ca="1">OFFSET(Ground!$A$2,Volume!Q139+1,1)</f>
        <v>608.887107</v>
      </c>
      <c r="V139" s="26"/>
      <c r="W139">
        <f t="shared" si="35"/>
        <v>8.949961418929865</v>
      </c>
      <c r="X139">
        <f>IF(Volume!W139&lt;'Temp Calcs'!$E$8,1,0)</f>
        <v>0</v>
      </c>
      <c r="Z139">
        <f t="shared" si="36"/>
        <v>-10.137247640459618</v>
      </c>
      <c r="AA139">
        <f>IF(Volume!Z139&gt;'Temp Calcs'!$L$8,1,0)</f>
        <v>0</v>
      </c>
      <c r="AB139" s="6"/>
      <c r="AC139" s="5"/>
    </row>
    <row r="140" spans="1:29" ht="12.75">
      <c r="A140" s="1">
        <v>139</v>
      </c>
      <c r="B140" s="1"/>
      <c r="C140" s="31">
        <f t="shared" si="37"/>
        <v>6044.647999999983</v>
      </c>
      <c r="D140" s="26">
        <f t="shared" si="38"/>
        <v>609.6380884676155</v>
      </c>
      <c r="E140" s="31">
        <f t="shared" si="34"/>
        <v>-5.2001053185887285</v>
      </c>
      <c r="F140" s="5"/>
      <c r="G140">
        <f t="shared" si="28"/>
        <v>610.4888277685344</v>
      </c>
      <c r="H140" s="8">
        <f t="shared" si="29"/>
        <v>-0.8507393009189173</v>
      </c>
      <c r="I140" s="30">
        <f>IF(H140&lt;1,(Data!$G$16+14+0.8*Data!$G$17+Data!$G$18*(1-H140))*(1-H140),(Data!$G$16+6+Data!$G$17*(H140-0.6))*(H140-0.6))</f>
        <v>57.190580904926236</v>
      </c>
      <c r="J140" s="28">
        <f t="shared" si="16"/>
        <v>120.72225447238965</v>
      </c>
      <c r="K140" t="str">
        <f t="shared" si="30"/>
        <v>Cut</v>
      </c>
      <c r="L140" s="28">
        <f t="shared" si="31"/>
        <v>120.72225447238965</v>
      </c>
      <c r="M140" s="28">
        <f t="shared" si="32"/>
        <v>0</v>
      </c>
      <c r="N140" s="28">
        <f>SUM($L$3:L140)</f>
        <v>62090.28716768399</v>
      </c>
      <c r="O140" s="28">
        <f>SUM($M$3:M140)</f>
        <v>71260.69773647306</v>
      </c>
      <c r="Q140">
        <f>MATCH(C140,Ground!$A$3:$A$1999,1)</f>
        <v>69</v>
      </c>
      <c r="R140">
        <f ca="1">OFFSET(Ground!$A$2,Volume!Q140,0)</f>
        <v>6040</v>
      </c>
      <c r="S140">
        <f ca="1">OFFSET(Ground!$A$2,Volume!Q140,1)</f>
        <v>610.782485</v>
      </c>
      <c r="T140">
        <f ca="1">OFFSET(Ground!$A$2,Volume!Q140+1,0)</f>
        <v>6070</v>
      </c>
      <c r="U140">
        <f ca="1">OFFSET(Ground!$A$2,Volume!Q140+1,1)</f>
        <v>608.887107</v>
      </c>
      <c r="V140" s="26"/>
      <c r="W140">
        <f t="shared" si="35"/>
        <v>8.837889391179921</v>
      </c>
      <c r="X140">
        <f>IF(Volume!W140&lt;'Temp Calcs'!$E$8,1,0)</f>
        <v>0</v>
      </c>
      <c r="Z140">
        <f t="shared" si="36"/>
        <v>-10.038118818921916</v>
      </c>
      <c r="AA140">
        <f>IF(Volume!Z140&gt;'Temp Calcs'!$L$8,1,0)</f>
        <v>0</v>
      </c>
      <c r="AB140" s="6"/>
      <c r="AC140" s="5"/>
    </row>
    <row r="141" spans="1:29" ht="12.75">
      <c r="A141" s="1">
        <v>140</v>
      </c>
      <c r="B141" s="1"/>
      <c r="C141" s="31">
        <f t="shared" si="37"/>
        <v>6046.743999999982</v>
      </c>
      <c r="D141" s="26">
        <f t="shared" si="38"/>
        <v>609.5290942601379</v>
      </c>
      <c r="E141" s="31">
        <f t="shared" si="34"/>
        <v>-5.2001053185887285</v>
      </c>
      <c r="F141" s="5"/>
      <c r="G141">
        <f t="shared" si="28"/>
        <v>610.356404025601</v>
      </c>
      <c r="H141" s="8">
        <f t="shared" si="29"/>
        <v>-0.8273097654631556</v>
      </c>
      <c r="I141" s="30">
        <f>IF(H141&lt;1,(Data!$G$16+14+0.8*Data!$G$17+Data!$G$18*(1-H141))*(1-H141),(Data!$G$16+6+Data!$G$17*(H141-0.6))*(H141-0.6))</f>
        <v>56.38094757851186</v>
      </c>
      <c r="J141" s="28">
        <f t="shared" si="16"/>
        <v>119.02296185061752</v>
      </c>
      <c r="K141" t="str">
        <f t="shared" si="30"/>
        <v>Cut</v>
      </c>
      <c r="L141" s="28">
        <f t="shared" si="31"/>
        <v>119.02296185061752</v>
      </c>
      <c r="M141" s="28">
        <f t="shared" si="32"/>
        <v>0</v>
      </c>
      <c r="N141" s="28">
        <f>SUM($L$3:L141)</f>
        <v>62209.31012953461</v>
      </c>
      <c r="O141" s="28">
        <f>SUM($M$3:M141)</f>
        <v>71260.69773647306</v>
      </c>
      <c r="Q141">
        <f>MATCH(C141,Ground!$A$3:$A$1999,1)</f>
        <v>69</v>
      </c>
      <c r="R141">
        <f ca="1">OFFSET(Ground!$A$2,Volume!Q141,0)</f>
        <v>6040</v>
      </c>
      <c r="S141">
        <f ca="1">OFFSET(Ground!$A$2,Volume!Q141,1)</f>
        <v>610.782485</v>
      </c>
      <c r="T141">
        <f ca="1">OFFSET(Ground!$A$2,Volume!Q141+1,0)</f>
        <v>6070</v>
      </c>
      <c r="U141">
        <f ca="1">OFFSET(Ground!$A$2,Volume!Q141+1,1)</f>
        <v>608.887107</v>
      </c>
      <c r="V141" s="26"/>
      <c r="W141">
        <f t="shared" si="35"/>
        <v>8.723346924475067</v>
      </c>
      <c r="X141">
        <f>IF(Volume!W141&lt;'Temp Calcs'!$E$8,1,0)</f>
        <v>0</v>
      </c>
      <c r="Z141">
        <f t="shared" si="36"/>
        <v>-9.936804869594571</v>
      </c>
      <c r="AA141">
        <f>IF(Volume!Z141&gt;'Temp Calcs'!$L$8,1,0)</f>
        <v>0</v>
      </c>
      <c r="AB141" s="6"/>
      <c r="AC141" s="5"/>
    </row>
    <row r="142" spans="1:29" ht="12.75">
      <c r="A142" s="1">
        <v>141</v>
      </c>
      <c r="B142" s="1"/>
      <c r="C142" s="31">
        <f t="shared" si="37"/>
        <v>6048.839999999982</v>
      </c>
      <c r="D142" s="26">
        <f t="shared" si="38"/>
        <v>609.4201000526602</v>
      </c>
      <c r="E142" s="31">
        <f t="shared" si="34"/>
        <v>-5.2001053185887285</v>
      </c>
      <c r="F142" s="5"/>
      <c r="G142">
        <f t="shared" si="28"/>
        <v>610.2239802826678</v>
      </c>
      <c r="H142" s="8">
        <f t="shared" si="29"/>
        <v>-0.8038802300075076</v>
      </c>
      <c r="I142" s="30">
        <f>IF(H142&lt;1,(Data!$G$16+14+0.8*Data!$G$17+Data!$G$18*(1-H142))*(1-H142),(Data!$G$16+6+Data!$G$17*(H142-0.6))*(H142-0.6))</f>
        <v>55.573510024628085</v>
      </c>
      <c r="J142" s="28">
        <f t="shared" si="16"/>
        <v>117.3282715680654</v>
      </c>
      <c r="K142" t="str">
        <f t="shared" si="30"/>
        <v>Cut</v>
      </c>
      <c r="L142" s="28">
        <f t="shared" si="31"/>
        <v>117.3282715680654</v>
      </c>
      <c r="M142" s="28">
        <f t="shared" si="32"/>
        <v>0</v>
      </c>
      <c r="N142" s="28">
        <f>SUM($L$3:L142)</f>
        <v>62326.63840110268</v>
      </c>
      <c r="O142" s="28">
        <f>SUM($M$3:M142)</f>
        <v>71260.69773647306</v>
      </c>
      <c r="Q142">
        <f>MATCH(C142,Ground!$A$3:$A$1999,1)</f>
        <v>69</v>
      </c>
      <c r="R142">
        <f ca="1">OFFSET(Ground!$A$2,Volume!Q142,0)</f>
        <v>6040</v>
      </c>
      <c r="S142">
        <f ca="1">OFFSET(Ground!$A$2,Volume!Q142,1)</f>
        <v>610.782485</v>
      </c>
      <c r="T142">
        <f ca="1">OFFSET(Ground!$A$2,Volume!Q142+1,0)</f>
        <v>6070</v>
      </c>
      <c r="U142">
        <f ca="1">OFFSET(Ground!$A$2,Volume!Q142+1,1)</f>
        <v>608.887107</v>
      </c>
      <c r="V142" s="26"/>
      <c r="W142">
        <f t="shared" si="35"/>
        <v>8.606251423483485</v>
      </c>
      <c r="X142">
        <f>IF(Volume!W142&lt;'Temp Calcs'!$E$8,1,0)</f>
        <v>0</v>
      </c>
      <c r="Z142">
        <f t="shared" si="36"/>
        <v>-9.833232736086305</v>
      </c>
      <c r="AA142">
        <f>IF(Volume!Z142&gt;'Temp Calcs'!$L$8,1,0)</f>
        <v>0</v>
      </c>
      <c r="AB142" s="6"/>
      <c r="AC142" s="5"/>
    </row>
    <row r="143" spans="1:29" ht="12.75">
      <c r="A143" s="1">
        <v>142</v>
      </c>
      <c r="B143" s="1"/>
      <c r="C143" s="31">
        <f t="shared" si="37"/>
        <v>6050.9359999999815</v>
      </c>
      <c r="D143" s="26">
        <f t="shared" si="38"/>
        <v>609.3111058451826</v>
      </c>
      <c r="E143" s="31">
        <f t="shared" si="34"/>
        <v>-5.2001053185887285</v>
      </c>
      <c r="F143" s="5"/>
      <c r="G143">
        <f t="shared" si="28"/>
        <v>610.0915565397345</v>
      </c>
      <c r="H143" s="8">
        <f t="shared" si="29"/>
        <v>-0.7804506945518597</v>
      </c>
      <c r="I143" s="30">
        <f>IF(H143&lt;1,(Data!$G$16+14+0.8*Data!$G$17+Data!$G$18*(1-H143))*(1-H143),(Data!$G$16+6+Data!$G$17*(H143-0.6))*(H143-0.6))</f>
        <v>54.76826824327098</v>
      </c>
      <c r="J143" s="28">
        <f t="shared" si="16"/>
        <v>115.63818362473333</v>
      </c>
      <c r="K143" t="str">
        <f t="shared" si="30"/>
        <v>Cut</v>
      </c>
      <c r="L143" s="28">
        <f t="shared" si="31"/>
        <v>115.63818362473333</v>
      </c>
      <c r="M143" s="28">
        <f t="shared" si="32"/>
        <v>0</v>
      </c>
      <c r="N143" s="28">
        <f>SUM($L$3:L143)</f>
        <v>62442.27658472741</v>
      </c>
      <c r="O143" s="28">
        <f>SUM($M$3:M143)</f>
        <v>71260.69773647306</v>
      </c>
      <c r="Q143">
        <f>MATCH(C143,Ground!$A$3:$A$1999,1)</f>
        <v>69</v>
      </c>
      <c r="R143">
        <f ca="1">OFFSET(Ground!$A$2,Volume!Q143,0)</f>
        <v>6040</v>
      </c>
      <c r="S143">
        <f ca="1">OFFSET(Ground!$A$2,Volume!Q143,1)</f>
        <v>610.782485</v>
      </c>
      <c r="T143">
        <f ca="1">OFFSET(Ground!$A$2,Volume!Q143+1,0)</f>
        <v>6070</v>
      </c>
      <c r="U143">
        <f ca="1">OFFSET(Ground!$A$2,Volume!Q143+1,1)</f>
        <v>608.887107</v>
      </c>
      <c r="V143" s="26"/>
      <c r="W143">
        <f t="shared" si="35"/>
        <v>8.486516569447055</v>
      </c>
      <c r="X143">
        <f>IF(Volume!W143&lt;'Temp Calcs'!$E$8,1,0)</f>
        <v>0</v>
      </c>
      <c r="Z143">
        <f t="shared" si="36"/>
        <v>-9.727326068598325</v>
      </c>
      <c r="AA143">
        <f>IF(Volume!Z143&gt;'Temp Calcs'!$L$8,1,0)</f>
        <v>0</v>
      </c>
      <c r="AB143" s="6"/>
      <c r="AC143" s="5"/>
    </row>
    <row r="144" spans="1:29" ht="12.75">
      <c r="A144" s="1">
        <v>143</v>
      </c>
      <c r="B144" s="1"/>
      <c r="C144" s="31">
        <f t="shared" si="37"/>
        <v>6053.031999999981</v>
      </c>
      <c r="D144" s="26">
        <f t="shared" si="38"/>
        <v>609.2021116377051</v>
      </c>
      <c r="E144" s="31">
        <f t="shared" si="34"/>
        <v>-5.2001053185887285</v>
      </c>
      <c r="F144" s="5"/>
      <c r="G144">
        <f t="shared" si="28"/>
        <v>609.9591327968012</v>
      </c>
      <c r="H144" s="8">
        <f t="shared" si="29"/>
        <v>-0.757021159096098</v>
      </c>
      <c r="I144" s="30">
        <f>IF(H144&lt;1,(Data!$G$16+14+0.8*Data!$G$17+Data!$G$18*(1-H144))*(1-H144),(Data!$G$16+6+Data!$G$17*(H144-0.6))*(H144-0.6))</f>
        <v>53.96522223443666</v>
      </c>
      <c r="J144" s="28">
        <f t="shared" si="16"/>
        <v>113.95269802061308</v>
      </c>
      <c r="K144" t="str">
        <f t="shared" si="30"/>
        <v>Cut</v>
      </c>
      <c r="L144" s="28">
        <f t="shared" si="31"/>
        <v>113.95269802061308</v>
      </c>
      <c r="M144" s="28">
        <f t="shared" si="32"/>
        <v>0</v>
      </c>
      <c r="N144" s="28">
        <f>SUM($L$3:L144)</f>
        <v>62556.22928274803</v>
      </c>
      <c r="O144" s="28">
        <f>SUM($M$3:M144)</f>
        <v>71260.69773647306</v>
      </c>
      <c r="Q144">
        <f>MATCH(C144,Ground!$A$3:$A$1999,1)</f>
        <v>69</v>
      </c>
      <c r="R144">
        <f ca="1">OFFSET(Ground!$A$2,Volume!Q144,0)</f>
        <v>6040</v>
      </c>
      <c r="S144">
        <f ca="1">OFFSET(Ground!$A$2,Volume!Q144,1)</f>
        <v>610.782485</v>
      </c>
      <c r="T144">
        <f ca="1">OFFSET(Ground!$A$2,Volume!Q144+1,0)</f>
        <v>6070</v>
      </c>
      <c r="U144">
        <f ca="1">OFFSET(Ground!$A$2,Volume!Q144+1,1)</f>
        <v>608.887107</v>
      </c>
      <c r="V144" s="26"/>
      <c r="W144">
        <f t="shared" si="35"/>
        <v>8.364052107972835</v>
      </c>
      <c r="X144">
        <f>IF(Volume!W144&lt;'Temp Calcs'!$E$8,1,0)</f>
        <v>0</v>
      </c>
      <c r="Z144">
        <f t="shared" si="36"/>
        <v>-9.61900503622373</v>
      </c>
      <c r="AA144">
        <f>IF(Volume!Z144&gt;'Temp Calcs'!$L$8,1,0)</f>
        <v>0</v>
      </c>
      <c r="AB144" s="6"/>
      <c r="AC144" s="5"/>
    </row>
    <row r="145" spans="1:29" ht="12.75">
      <c r="A145" s="1">
        <v>144</v>
      </c>
      <c r="B145" s="1"/>
      <c r="C145" s="31">
        <f t="shared" si="37"/>
        <v>6055.127999999981</v>
      </c>
      <c r="D145" s="26">
        <f t="shared" si="38"/>
        <v>609.0931174302275</v>
      </c>
      <c r="E145" s="31">
        <f t="shared" si="34"/>
        <v>-5.2001053185887285</v>
      </c>
      <c r="F145" s="5"/>
      <c r="G145">
        <f t="shared" si="28"/>
        <v>609.8267090538678</v>
      </c>
      <c r="H145" s="8">
        <f t="shared" si="29"/>
        <v>-0.7335916236403364</v>
      </c>
      <c r="I145" s="30">
        <f>IF(H145&lt;1,(Data!$G$16+14+0.8*Data!$G$17+Data!$G$18*(1-H145))*(1-H145),(Data!$G$16+6+Data!$G$17*(H145-0.6))*(H145-0.6))</f>
        <v>53.16437199812902</v>
      </c>
      <c r="J145" s="28">
        <f t="shared" si="16"/>
        <v>112.27181475570467</v>
      </c>
      <c r="K145" t="str">
        <f t="shared" si="30"/>
        <v>Cut</v>
      </c>
      <c r="L145" s="28">
        <f t="shared" si="31"/>
        <v>112.27181475570467</v>
      </c>
      <c r="M145" s="28">
        <f t="shared" si="32"/>
        <v>0</v>
      </c>
      <c r="N145" s="28">
        <f>SUM($L$3:L145)</f>
        <v>62668.50109750373</v>
      </c>
      <c r="O145" s="28">
        <f>SUM($M$3:M145)</f>
        <v>71260.69773647306</v>
      </c>
      <c r="Q145">
        <f>MATCH(C145,Ground!$A$3:$A$1999,1)</f>
        <v>69</v>
      </c>
      <c r="R145">
        <f ca="1">OFFSET(Ground!$A$2,Volume!Q145,0)</f>
        <v>6040</v>
      </c>
      <c r="S145">
        <f ca="1">OFFSET(Ground!$A$2,Volume!Q145,1)</f>
        <v>610.782485</v>
      </c>
      <c r="T145">
        <f ca="1">OFFSET(Ground!$A$2,Volume!Q145+1,0)</f>
        <v>6070</v>
      </c>
      <c r="U145">
        <f ca="1">OFFSET(Ground!$A$2,Volume!Q145+1,1)</f>
        <v>608.887107</v>
      </c>
      <c r="V145" s="26"/>
      <c r="W145">
        <f t="shared" si="35"/>
        <v>8.238763622144619</v>
      </c>
      <c r="X145">
        <f>IF(Volume!W145&lt;'Temp Calcs'!$E$8,1,0)</f>
        <v>0</v>
      </c>
      <c r="Z145">
        <f t="shared" si="36"/>
        <v>-9.508186126262522</v>
      </c>
      <c r="AA145">
        <f>IF(Volume!Z145&gt;'Temp Calcs'!$L$8,1,0)</f>
        <v>0</v>
      </c>
      <c r="AB145" s="6"/>
      <c r="AC145" s="5"/>
    </row>
    <row r="146" spans="1:29" ht="12.75">
      <c r="A146" s="1">
        <v>145</v>
      </c>
      <c r="B146" s="1"/>
      <c r="C146" s="31">
        <f t="shared" si="37"/>
        <v>6057.22399999998</v>
      </c>
      <c r="D146" s="26">
        <f t="shared" si="38"/>
        <v>608.9841232227499</v>
      </c>
      <c r="E146" s="31">
        <f t="shared" si="34"/>
        <v>-5.2001053185887285</v>
      </c>
      <c r="F146" s="5"/>
      <c r="G146">
        <f t="shared" si="28"/>
        <v>609.6942853109346</v>
      </c>
      <c r="H146" s="8">
        <f t="shared" si="29"/>
        <v>-0.7101620881846884</v>
      </c>
      <c r="I146" s="30">
        <f>IF(H146&lt;1,(Data!$G$16+14+0.8*Data!$G$17+Data!$G$18*(1-H146))*(1-H146),(Data!$G$16+6+Data!$G$17*(H146-0.6))*(H146-0.6))</f>
        <v>52.36571753435195</v>
      </c>
      <c r="J146" s="28">
        <f t="shared" si="16"/>
        <v>110.59553383001625</v>
      </c>
      <c r="K146" t="str">
        <f t="shared" si="30"/>
        <v>Cut</v>
      </c>
      <c r="L146" s="28">
        <f t="shared" si="31"/>
        <v>110.59553383001625</v>
      </c>
      <c r="M146" s="28">
        <f t="shared" si="32"/>
        <v>0</v>
      </c>
      <c r="N146" s="28">
        <f>SUM($L$3:L146)</f>
        <v>62779.09663133375</v>
      </c>
      <c r="O146" s="28">
        <f>SUM($M$3:M146)</f>
        <v>71260.69773647306</v>
      </c>
      <c r="Q146">
        <f>MATCH(C146,Ground!$A$3:$A$1999,1)</f>
        <v>69</v>
      </c>
      <c r="R146">
        <f ca="1">OFFSET(Ground!$A$2,Volume!Q146,0)</f>
        <v>6040</v>
      </c>
      <c r="S146">
        <f ca="1">OFFSET(Ground!$A$2,Volume!Q146,1)</f>
        <v>610.782485</v>
      </c>
      <c r="T146">
        <f ca="1">OFFSET(Ground!$A$2,Volume!Q146+1,0)</f>
        <v>6070</v>
      </c>
      <c r="U146">
        <f ca="1">OFFSET(Ground!$A$2,Volume!Q146+1,1)</f>
        <v>608.887107</v>
      </c>
      <c r="V146" s="26"/>
      <c r="W146">
        <f t="shared" si="35"/>
        <v>8.110552289754263</v>
      </c>
      <c r="X146">
        <f>IF(Volume!W146&lt;'Temp Calcs'!$E$8,1,0)</f>
        <v>0</v>
      </c>
      <c r="Z146">
        <f t="shared" si="36"/>
        <v>-9.394781929490168</v>
      </c>
      <c r="AA146">
        <f>IF(Volume!Z146&gt;'Temp Calcs'!$L$8,1,0)</f>
        <v>0</v>
      </c>
      <c r="AB146" s="6"/>
      <c r="AC146" s="5"/>
    </row>
    <row r="147" spans="1:29" ht="12.75">
      <c r="A147" s="1">
        <v>146</v>
      </c>
      <c r="B147" s="1"/>
      <c r="C147" s="31">
        <f t="shared" si="37"/>
        <v>6059.31999999998</v>
      </c>
      <c r="D147" s="26">
        <f t="shared" si="38"/>
        <v>608.8751290152723</v>
      </c>
      <c r="E147" s="31">
        <f t="shared" si="34"/>
        <v>-5.2001053185887285</v>
      </c>
      <c r="F147" s="5"/>
      <c r="G147">
        <f t="shared" si="28"/>
        <v>609.5618615680013</v>
      </c>
      <c r="H147" s="8">
        <f t="shared" si="29"/>
        <v>-0.6867325527290404</v>
      </c>
      <c r="I147" s="30">
        <f>IF(H147&lt;1,(Data!$G$16+14+0.8*Data!$G$17+Data!$G$18*(1-H147))*(1-H147),(Data!$G$16+6+Data!$G$17*(H147-0.6))*(H147-0.6))</f>
        <v>51.56925884310155</v>
      </c>
      <c r="J147" s="28">
        <f t="shared" si="16"/>
        <v>108.92385524354782</v>
      </c>
      <c r="K147" t="str">
        <f t="shared" si="30"/>
        <v>Cut</v>
      </c>
      <c r="L147" s="28">
        <f t="shared" si="31"/>
        <v>108.92385524354782</v>
      </c>
      <c r="M147" s="28">
        <f t="shared" si="32"/>
        <v>0</v>
      </c>
      <c r="N147" s="28">
        <f>SUM($L$3:L147)</f>
        <v>62888.0204865773</v>
      </c>
      <c r="O147" s="28">
        <f>SUM($M$3:M147)</f>
        <v>71260.69773647306</v>
      </c>
      <c r="Q147">
        <f>MATCH(C147,Ground!$A$3:$A$1999,1)</f>
        <v>69</v>
      </c>
      <c r="R147">
        <f ca="1">OFFSET(Ground!$A$2,Volume!Q147,0)</f>
        <v>6040</v>
      </c>
      <c r="S147">
        <f ca="1">OFFSET(Ground!$A$2,Volume!Q147,1)</f>
        <v>610.782485</v>
      </c>
      <c r="T147">
        <f ca="1">OFFSET(Ground!$A$2,Volume!Q147+1,0)</f>
        <v>6070</v>
      </c>
      <c r="U147">
        <f ca="1">OFFSET(Ground!$A$2,Volume!Q147+1,1)</f>
        <v>608.887107</v>
      </c>
      <c r="V147" s="26"/>
      <c r="W147">
        <f t="shared" si="35"/>
        <v>7.979314623342924</v>
      </c>
      <c r="X147">
        <f>IF(Volume!W147&lt;'Temp Calcs'!$E$8,1,0)</f>
        <v>0</v>
      </c>
      <c r="Z147">
        <f t="shared" si="36"/>
        <v>-9.278700910221584</v>
      </c>
      <c r="AA147">
        <f>IF(Volume!Z147&gt;'Temp Calcs'!$L$8,1,0)</f>
        <v>0</v>
      </c>
      <c r="AB147" s="6"/>
      <c r="AC147" s="5"/>
    </row>
    <row r="148" spans="1:29" ht="12.75">
      <c r="A148" s="1">
        <v>147</v>
      </c>
      <c r="B148" s="1"/>
      <c r="C148" s="31">
        <f t="shared" si="37"/>
        <v>6061.415999999979</v>
      </c>
      <c r="D148" s="26">
        <f t="shared" si="38"/>
        <v>608.7661348077946</v>
      </c>
      <c r="E148" s="31">
        <f t="shared" si="34"/>
        <v>-5.2001053185887285</v>
      </c>
      <c r="F148" s="5"/>
      <c r="G148">
        <f t="shared" si="28"/>
        <v>609.429437825068</v>
      </c>
      <c r="H148" s="8">
        <f t="shared" si="29"/>
        <v>-0.6633030172733925</v>
      </c>
      <c r="I148" s="30">
        <f>IF(H148&lt;1,(Data!$G$16+14+0.8*Data!$G$17+Data!$G$18*(1-H148))*(1-H148),(Data!$G$16+6+Data!$G$17*(H148-0.6))*(H148-0.6))</f>
        <v>50.77499592437782</v>
      </c>
      <c r="J148" s="28">
        <f t="shared" si="16"/>
        <v>107.2567789962953</v>
      </c>
      <c r="K148" t="str">
        <f t="shared" si="30"/>
        <v>Cut</v>
      </c>
      <c r="L148" s="28">
        <f t="shared" si="31"/>
        <v>107.2567789962953</v>
      </c>
      <c r="M148" s="28">
        <f t="shared" si="32"/>
        <v>0</v>
      </c>
      <c r="N148" s="28">
        <f>SUM($L$3:L148)</f>
        <v>62995.27726557359</v>
      </c>
      <c r="O148" s="28">
        <f>SUM($M$3:M148)</f>
        <v>71260.69773647306</v>
      </c>
      <c r="Q148">
        <f>MATCH(C148,Ground!$A$3:$A$1999,1)</f>
        <v>69</v>
      </c>
      <c r="R148">
        <f ca="1">OFFSET(Ground!$A$2,Volume!Q148,0)</f>
        <v>6040</v>
      </c>
      <c r="S148">
        <f ca="1">OFFSET(Ground!$A$2,Volume!Q148,1)</f>
        <v>610.782485</v>
      </c>
      <c r="T148">
        <f ca="1">OFFSET(Ground!$A$2,Volume!Q148+1,0)</f>
        <v>6070</v>
      </c>
      <c r="U148">
        <f ca="1">OFFSET(Ground!$A$2,Volume!Q148+1,1)</f>
        <v>608.887107</v>
      </c>
      <c r="V148" s="26"/>
      <c r="W148">
        <f t="shared" si="35"/>
        <v>7.844942191613524</v>
      </c>
      <c r="X148">
        <f>IF(Volume!W148&lt;'Temp Calcs'!$E$8,1,0)</f>
        <v>0</v>
      </c>
      <c r="Z148">
        <f t="shared" si="36"/>
        <v>-9.159847159897664</v>
      </c>
      <c r="AA148">
        <f>IF(Volume!Z148&gt;'Temp Calcs'!$L$8,1,0)</f>
        <v>0</v>
      </c>
      <c r="AB148" s="6"/>
      <c r="AC148" s="5"/>
    </row>
    <row r="149" spans="1:29" ht="12.75">
      <c r="A149" s="1">
        <v>148</v>
      </c>
      <c r="B149" s="1"/>
      <c r="C149" s="31">
        <f t="shared" si="37"/>
        <v>6063.511999999979</v>
      </c>
      <c r="D149" s="26">
        <f t="shared" si="38"/>
        <v>608.6571406003171</v>
      </c>
      <c r="E149" s="31">
        <f t="shared" si="34"/>
        <v>-5.2001053185887285</v>
      </c>
      <c r="F149" s="5"/>
      <c r="G149">
        <f t="shared" si="28"/>
        <v>609.2970140821346</v>
      </c>
      <c r="H149" s="8">
        <f t="shared" si="29"/>
        <v>-0.6398734818175171</v>
      </c>
      <c r="I149" s="30">
        <f>IF(H149&lt;1,(Data!$G$16+14+0.8*Data!$G$17+Data!$G$18*(1-H149))*(1-H149),(Data!$G$16+6+Data!$G$17*(H149-0.6))*(H149-0.6))</f>
        <v>49.982928778173076</v>
      </c>
      <c r="J149" s="28">
        <f t="shared" si="16"/>
        <v>105.59430508825061</v>
      </c>
      <c r="K149" t="str">
        <f t="shared" si="30"/>
        <v>Cut</v>
      </c>
      <c r="L149" s="28">
        <f t="shared" si="31"/>
        <v>105.59430508825061</v>
      </c>
      <c r="M149" s="28">
        <f t="shared" si="32"/>
        <v>0</v>
      </c>
      <c r="N149" s="28">
        <f>SUM($L$3:L149)</f>
        <v>63100.87157066184</v>
      </c>
      <c r="O149" s="28">
        <f>SUM($M$3:M149)</f>
        <v>71260.69773647306</v>
      </c>
      <c r="Q149">
        <f>MATCH(C149,Ground!$A$3:$A$1999,1)</f>
        <v>69</v>
      </c>
      <c r="R149">
        <f ca="1">OFFSET(Ground!$A$2,Volume!Q149,0)</f>
        <v>6040</v>
      </c>
      <c r="S149">
        <f ca="1">OFFSET(Ground!$A$2,Volume!Q149,1)</f>
        <v>610.782485</v>
      </c>
      <c r="T149">
        <f ca="1">OFFSET(Ground!$A$2,Volume!Q149+1,0)</f>
        <v>6070</v>
      </c>
      <c r="U149">
        <f ca="1">OFFSET(Ground!$A$2,Volume!Q149+1,1)</f>
        <v>608.887107</v>
      </c>
      <c r="V149" s="26"/>
      <c r="W149">
        <f t="shared" si="35"/>
        <v>7.707321320638736</v>
      </c>
      <c r="X149">
        <f>IF(Volume!W149&lt;'Temp Calcs'!$E$8,1,0)</f>
        <v>0</v>
      </c>
      <c r="Z149">
        <f t="shared" si="36"/>
        <v>-9.03812013280076</v>
      </c>
      <c r="AA149">
        <f>IF(Volume!Z149&gt;'Temp Calcs'!$L$8,1,0)</f>
        <v>0</v>
      </c>
      <c r="AB149" s="6"/>
      <c r="AC149" s="5"/>
    </row>
    <row r="150" spans="1:29" ht="12.75">
      <c r="A150" s="1">
        <v>149</v>
      </c>
      <c r="B150" s="1"/>
      <c r="C150" s="31">
        <f t="shared" si="37"/>
        <v>6065.607999999978</v>
      </c>
      <c r="D150" s="26">
        <f t="shared" si="38"/>
        <v>608.5481463928395</v>
      </c>
      <c r="E150" s="31">
        <f t="shared" si="34"/>
        <v>-5.2001053185887285</v>
      </c>
      <c r="F150" s="5"/>
      <c r="G150">
        <f t="shared" si="28"/>
        <v>609.1645903392014</v>
      </c>
      <c r="H150" s="8">
        <f t="shared" si="29"/>
        <v>-0.6164439463618692</v>
      </c>
      <c r="I150" s="30">
        <f>IF(H150&lt;1,(Data!$G$16+14+0.8*Data!$G$17+Data!$G$18*(1-H150))*(1-H150),(Data!$G$16+6+Data!$G$17*(H150-0.6))*(H150-0.6))</f>
        <v>49.19305740450271</v>
      </c>
      <c r="J150" s="28">
        <f t="shared" si="16"/>
        <v>103.93643351942185</v>
      </c>
      <c r="K150" t="str">
        <f t="shared" si="30"/>
        <v>Cut</v>
      </c>
      <c r="L150" s="28">
        <f t="shared" si="31"/>
        <v>103.93643351942185</v>
      </c>
      <c r="M150" s="28">
        <f t="shared" si="32"/>
        <v>0</v>
      </c>
      <c r="N150" s="28">
        <f>SUM($L$3:L150)</f>
        <v>63204.80800418126</v>
      </c>
      <c r="O150" s="28">
        <f>SUM($M$3:M150)</f>
        <v>71260.69773647306</v>
      </c>
      <c r="Q150">
        <f>MATCH(C150,Ground!$A$3:$A$1999,1)</f>
        <v>69</v>
      </c>
      <c r="R150">
        <f ca="1">OFFSET(Ground!$A$2,Volume!Q150,0)</f>
        <v>6040</v>
      </c>
      <c r="S150">
        <f ca="1">OFFSET(Ground!$A$2,Volume!Q150,1)</f>
        <v>610.782485</v>
      </c>
      <c r="T150">
        <f ca="1">OFFSET(Ground!$A$2,Volume!Q150+1,0)</f>
        <v>6070</v>
      </c>
      <c r="U150">
        <f ca="1">OFFSET(Ground!$A$2,Volume!Q150+1,1)</f>
        <v>608.887107</v>
      </c>
      <c r="V150" s="26"/>
      <c r="W150">
        <f t="shared" si="35"/>
        <v>7.566332773134544</v>
      </c>
      <c r="X150">
        <f>IF(Volume!W150&lt;'Temp Calcs'!$E$8,1,0)</f>
        <v>0</v>
      </c>
      <c r="Z150">
        <f t="shared" si="36"/>
        <v>-8.913414362369062</v>
      </c>
      <c r="AA150">
        <f>IF(Volume!Z150&gt;'Temp Calcs'!$L$8,1,0)</f>
        <v>0</v>
      </c>
      <c r="AB150" s="6"/>
      <c r="AC150" s="5"/>
    </row>
    <row r="151" spans="1:29" ht="12.75">
      <c r="A151" s="1">
        <v>150</v>
      </c>
      <c r="B151" s="1"/>
      <c r="C151" s="31">
        <f t="shared" si="37"/>
        <v>6067.703999999978</v>
      </c>
      <c r="D151" s="26">
        <f t="shared" si="38"/>
        <v>608.4391521853619</v>
      </c>
      <c r="E151" s="31">
        <f t="shared" si="34"/>
        <v>-5.2001053185887285</v>
      </c>
      <c r="F151" s="5"/>
      <c r="G151">
        <f t="shared" si="28"/>
        <v>609.0321665962681</v>
      </c>
      <c r="H151" s="8">
        <f t="shared" si="29"/>
        <v>-0.5930144109062212</v>
      </c>
      <c r="I151" s="30">
        <f>IF(H151&lt;1,(Data!$G$16+14+0.8*Data!$G$17+Data!$G$18*(1-H151))*(1-H151),(Data!$G$16+6+Data!$G$17*(H151-0.6))*(H151-0.6))</f>
        <v>48.405381803359006</v>
      </c>
      <c r="J151" s="28">
        <f t="shared" si="16"/>
        <v>102.28316428981707</v>
      </c>
      <c r="K151" t="str">
        <f t="shared" si="30"/>
        <v>Cut</v>
      </c>
      <c r="L151" s="28">
        <f t="shared" si="31"/>
        <v>102.28316428981707</v>
      </c>
      <c r="M151" s="28">
        <f t="shared" si="32"/>
        <v>0</v>
      </c>
      <c r="N151" s="28">
        <f>SUM($L$3:L151)</f>
        <v>63307.09116847107</v>
      </c>
      <c r="O151" s="28">
        <f>SUM($M$3:M151)</f>
        <v>71260.69773647306</v>
      </c>
      <c r="Q151">
        <f>MATCH(C151,Ground!$A$3:$A$1999,1)</f>
        <v>69</v>
      </c>
      <c r="R151">
        <f ca="1">OFFSET(Ground!$A$2,Volume!Q151,0)</f>
        <v>6040</v>
      </c>
      <c r="S151">
        <f ca="1">OFFSET(Ground!$A$2,Volume!Q151,1)</f>
        <v>610.782485</v>
      </c>
      <c r="T151">
        <f ca="1">OFFSET(Ground!$A$2,Volume!Q151+1,0)</f>
        <v>6070</v>
      </c>
      <c r="U151">
        <f ca="1">OFFSET(Ground!$A$2,Volume!Q151+1,1)</f>
        <v>608.887107</v>
      </c>
      <c r="V151" s="26"/>
      <c r="W151">
        <f t="shared" si="35"/>
        <v>7.421851403895957</v>
      </c>
      <c r="X151">
        <f>IF(Volume!W151&lt;'Temp Calcs'!$E$8,1,0)</f>
        <v>0</v>
      </c>
      <c r="Z151">
        <f t="shared" si="36"/>
        <v>-8.78561915642591</v>
      </c>
      <c r="AA151">
        <f>IF(Volume!Z151&gt;'Temp Calcs'!$L$8,1,0)</f>
        <v>0</v>
      </c>
      <c r="AB151" s="6"/>
      <c r="AC151" s="5"/>
    </row>
    <row r="152" spans="1:29" ht="12.75">
      <c r="A152" s="1">
        <v>151</v>
      </c>
      <c r="B152" s="1" t="s">
        <v>19</v>
      </c>
      <c r="C152" s="5">
        <f>Data!C5-Data!F5/2</f>
        <v>6069.8</v>
      </c>
      <c r="D152" s="6">
        <f>Data!D5-Data!E4/100*Data!F5/2</f>
        <v>608.3301579778831</v>
      </c>
      <c r="E152" s="5">
        <f>E102</f>
        <v>-5.2001053185887285</v>
      </c>
      <c r="F152" s="5"/>
      <c r="G152">
        <f aca="true" t="shared" si="39" ref="G152:G171">S152+(U152-S152)*(C152-R152)/(T152-R152)</f>
        <v>608.8997428533334</v>
      </c>
      <c r="H152" s="8">
        <f aca="true" t="shared" si="40" ref="H152:H171">D152-G152</f>
        <v>-0.5695848754502322</v>
      </c>
      <c r="I152" s="30">
        <f>IF(H152&lt;1,(Data!$G$16+14+0.8*Data!$G$17+Data!$G$18*(1-H152))*(1-H152),(Data!$G$16+6+Data!$G$17*(H152-0.6))*(H152-0.6))</f>
        <v>47.61990197473055</v>
      </c>
      <c r="J152" s="28">
        <f t="shared" si="16"/>
        <v>100.63449740050788</v>
      </c>
      <c r="K152" t="str">
        <f aca="true" t="shared" si="41" ref="K152:K171">IF(H152&lt;0.5,"Cut","Fill")</f>
        <v>Cut</v>
      </c>
      <c r="L152" s="28">
        <f aca="true" t="shared" si="42" ref="L152:L171">IF(K152="Cut",J152,0)</f>
        <v>100.63449740050788</v>
      </c>
      <c r="M152" s="28">
        <f aca="true" t="shared" si="43" ref="M152:M171">IF(K152="Fill",J152,0)</f>
        <v>0</v>
      </c>
      <c r="N152" s="28">
        <f>SUM($L$3:L152)</f>
        <v>63407.725665871585</v>
      </c>
      <c r="O152" s="28">
        <f>SUM($M$3:M152)</f>
        <v>71260.69773647306</v>
      </c>
      <c r="Q152">
        <f>MATCH(C152,Ground!$A$3:$A$1999,1)</f>
        <v>69</v>
      </c>
      <c r="R152">
        <f ca="1">OFFSET(Ground!$A$2,Volume!Q152,0)</f>
        <v>6040</v>
      </c>
      <c r="S152">
        <f ca="1">OFFSET(Ground!$A$2,Volume!Q152,1)</f>
        <v>610.782485</v>
      </c>
      <c r="T152">
        <f ca="1">OFFSET(Ground!$A$2,Volume!Q152+1,0)</f>
        <v>6070</v>
      </c>
      <c r="U152">
        <f ca="1">OFFSET(Ground!$A$2,Volume!Q152+1,1)</f>
        <v>608.887107</v>
      </c>
      <c r="V152" s="26"/>
      <c r="W152">
        <f t="shared" si="35"/>
        <v>7.273745789302394</v>
      </c>
      <c r="X152">
        <f>IF(Volume!W152&lt;'Temp Calcs'!$E$8,1,0)</f>
        <v>0</v>
      </c>
      <c r="Z152">
        <f t="shared" si="36"/>
        <v>-8.654618269473707</v>
      </c>
      <c r="AA152">
        <f>IF(Volume!Z152&gt;'Temp Calcs'!$L$8,1,0)</f>
        <v>0</v>
      </c>
      <c r="AB152" s="6"/>
      <c r="AC152" s="5"/>
    </row>
    <row r="153" spans="1:29" ht="12.75">
      <c r="A153" s="1">
        <v>152</v>
      </c>
      <c r="C153" s="7">
        <f>C152+($C$202-$C$152)/50</f>
        <v>6075.8</v>
      </c>
      <c r="D153" s="8">
        <f aca="true" t="shared" si="44" ref="D153:D201">D$152+($E$202-$E$152)/100*(C153-$C$152)^2/2/($C$202-$C$152)+$E$152/100*(C153-$C$152)</f>
        <v>608.023583479906</v>
      </c>
      <c r="E153" s="7">
        <f aca="true" t="shared" si="45" ref="E153:E201">$E$152+($E$202-$E$152)*(C153-$C$152)/($C$202-$C$152)</f>
        <v>-5.019044613978731</v>
      </c>
      <c r="F153" s="7"/>
      <c r="G153">
        <f t="shared" si="39"/>
        <v>608.5150020066667</v>
      </c>
      <c r="H153" s="8">
        <f t="shared" si="40"/>
        <v>-0.4914185267606399</v>
      </c>
      <c r="I153" s="30">
        <f>IF(H153&lt;1,(Data!$G$16+14+0.8*Data!$G$17+Data!$G$18*(1-H153))*(1-H153),(Data!$G$16+6+Data!$G$17*(H153-0.6))*(H153-0.6))</f>
        <v>45.01524237181916</v>
      </c>
      <c r="J153" s="28">
        <f t="shared" si="16"/>
        <v>277.9054330396491</v>
      </c>
      <c r="K153" t="str">
        <f t="shared" si="41"/>
        <v>Cut</v>
      </c>
      <c r="L153" s="28">
        <f t="shared" si="42"/>
        <v>277.9054330396491</v>
      </c>
      <c r="M153" s="28">
        <f t="shared" si="43"/>
        <v>0</v>
      </c>
      <c r="N153" s="28">
        <f>SUM($L$3:L153)</f>
        <v>63685.63109891123</v>
      </c>
      <c r="O153" s="28">
        <f>SUM($M$3:M153)</f>
        <v>71260.69773647306</v>
      </c>
      <c r="Q153">
        <f>MATCH(C153,Ground!$A$3:$A$1999,1)</f>
        <v>70</v>
      </c>
      <c r="R153">
        <f ca="1">OFFSET(Ground!$A$2,Volume!Q153,0)</f>
        <v>6070</v>
      </c>
      <c r="S153">
        <f ca="1">OFFSET(Ground!$A$2,Volume!Q153,1)</f>
        <v>608.887107</v>
      </c>
      <c r="T153">
        <f ca="1">OFFSET(Ground!$A$2,Volume!Q153+1,0)</f>
        <v>6100</v>
      </c>
      <c r="U153">
        <f ca="1">OFFSET(Ground!$A$2,Volume!Q153+1,1)</f>
        <v>606.962426</v>
      </c>
      <c r="V153" s="26"/>
      <c r="W153">
        <f t="shared" si="35"/>
        <v>6.824050853328063</v>
      </c>
      <c r="X153">
        <f>IF(Volume!W153&lt;'Temp Calcs'!$E$8,1,0)</f>
        <v>0</v>
      </c>
      <c r="Z153">
        <f t="shared" si="36"/>
        <v>-8.255419674162475</v>
      </c>
      <c r="AA153">
        <f>IF(Volume!Z153&gt;'Temp Calcs'!$L$8,1,0)</f>
        <v>0</v>
      </c>
      <c r="AB153" s="8"/>
      <c r="AC153" s="7"/>
    </row>
    <row r="154" spans="1:29" ht="12.75">
      <c r="A154" s="1">
        <v>153</v>
      </c>
      <c r="C154" s="7">
        <f aca="true" t="shared" si="46" ref="C154:C201">C153+($C$202-$C$152)/50</f>
        <v>6081.8</v>
      </c>
      <c r="D154" s="8">
        <f t="shared" si="44"/>
        <v>607.7278726242057</v>
      </c>
      <c r="E154" s="7">
        <f t="shared" si="45"/>
        <v>-4.837983909368734</v>
      </c>
      <c r="F154" s="7"/>
      <c r="G154">
        <f t="shared" si="39"/>
        <v>608.1300658066667</v>
      </c>
      <c r="H154" s="8">
        <f t="shared" si="40"/>
        <v>-0.4021931824610192</v>
      </c>
      <c r="I154" s="30">
        <f>IF(H154&lt;1,(Data!$G$16+14+0.8*Data!$G$17+Data!$G$18*(1-H154))*(1-H154),(Data!$G$16+6+Data!$G$17*(H154-0.6))*(H154-0.6))</f>
        <v>42.07194600482004</v>
      </c>
      <c r="J154" s="28">
        <f t="shared" si="16"/>
        <v>261.2615651299176</v>
      </c>
      <c r="K154" t="str">
        <f t="shared" si="41"/>
        <v>Cut</v>
      </c>
      <c r="L154" s="28">
        <f t="shared" si="42"/>
        <v>261.2615651299176</v>
      </c>
      <c r="M154" s="28">
        <f t="shared" si="43"/>
        <v>0</v>
      </c>
      <c r="N154" s="28">
        <f>SUM($L$3:L154)</f>
        <v>63946.89266404115</v>
      </c>
      <c r="O154" s="28">
        <f>SUM($M$3:M154)</f>
        <v>71260.69773647306</v>
      </c>
      <c r="Q154">
        <f>MATCH(C154,Ground!$A$3:$A$1999,1)</f>
        <v>70</v>
      </c>
      <c r="R154">
        <f ca="1">OFFSET(Ground!$A$2,Volume!Q154,0)</f>
        <v>6070</v>
      </c>
      <c r="S154">
        <f ca="1">OFFSET(Ground!$A$2,Volume!Q154,1)</f>
        <v>608.887107</v>
      </c>
      <c r="T154">
        <f ca="1">OFFSET(Ground!$A$2,Volume!Q154+1,0)</f>
        <v>6100</v>
      </c>
      <c r="U154">
        <f ca="1">OFFSET(Ground!$A$2,Volume!Q154+1,1)</f>
        <v>606.962426</v>
      </c>
      <c r="V154" s="26"/>
      <c r="W154">
        <f t="shared" si="35"/>
        <v>6.331702090205607</v>
      </c>
      <c r="X154">
        <f>IF(Volume!W154&lt;'Temp Calcs'!$E$8,1,0)</f>
        <v>0</v>
      </c>
      <c r="Z154">
        <f t="shared" si="36"/>
        <v>-7.815404981876515</v>
      </c>
      <c r="AA154">
        <f>IF(Volume!Z154&gt;'Temp Calcs'!$L$8,1,0)</f>
        <v>0</v>
      </c>
      <c r="AB154" s="8"/>
      <c r="AC154" s="7"/>
    </row>
    <row r="155" spans="1:29" ht="12.75">
      <c r="A155" s="1">
        <v>154</v>
      </c>
      <c r="C155" s="7">
        <f t="shared" si="46"/>
        <v>6087.8</v>
      </c>
      <c r="D155" s="8">
        <f t="shared" si="44"/>
        <v>607.4430254107818</v>
      </c>
      <c r="E155" s="7">
        <f t="shared" si="45"/>
        <v>-4.656923204758736</v>
      </c>
      <c r="F155" s="7"/>
      <c r="G155">
        <f t="shared" si="39"/>
        <v>607.7451296066666</v>
      </c>
      <c r="H155" s="8">
        <f t="shared" si="40"/>
        <v>-0.30210419588479454</v>
      </c>
      <c r="I155" s="30">
        <f>IF(H155&lt;1,(Data!$G$16+14+0.8*Data!$G$17+Data!$G$18*(1-H155))*(1-H155),(Data!$G$16+6+Data!$G$17*(H155-0.6))*(H155-0.6))</f>
        <v>38.80818480194799</v>
      </c>
      <c r="J155" s="28">
        <f t="shared" si="16"/>
        <v>242.64039242030407</v>
      </c>
      <c r="K155" t="str">
        <f t="shared" si="41"/>
        <v>Cut</v>
      </c>
      <c r="L155" s="28">
        <f t="shared" si="42"/>
        <v>242.64039242030407</v>
      </c>
      <c r="M155" s="28">
        <f t="shared" si="43"/>
        <v>0</v>
      </c>
      <c r="N155" s="28">
        <f>SUM($L$3:L155)</f>
        <v>64189.533056461456</v>
      </c>
      <c r="O155" s="28">
        <f>SUM($M$3:M155)</f>
        <v>71260.69773647306</v>
      </c>
      <c r="Q155">
        <f>MATCH(C155,Ground!$A$3:$A$1999,1)</f>
        <v>70</v>
      </c>
      <c r="R155">
        <f ca="1">OFFSET(Ground!$A$2,Volume!Q155,0)</f>
        <v>6070</v>
      </c>
      <c r="S155">
        <f ca="1">OFFSET(Ground!$A$2,Volume!Q155,1)</f>
        <v>608.887107</v>
      </c>
      <c r="T155">
        <f ca="1">OFFSET(Ground!$A$2,Volume!Q155+1,0)</f>
        <v>6100</v>
      </c>
      <c r="U155">
        <f ca="1">OFFSET(Ground!$A$2,Volume!Q155+1,1)</f>
        <v>606.962426</v>
      </c>
      <c r="V155" s="26"/>
      <c r="W155">
        <f t="shared" si="35"/>
        <v>5.793906545213984</v>
      </c>
      <c r="X155">
        <f>IF(Volume!W155&lt;'Temp Calcs'!$E$8,1,0)</f>
        <v>0</v>
      </c>
      <c r="Z155">
        <f t="shared" si="36"/>
        <v>-7.331771587075691</v>
      </c>
      <c r="AA155">
        <f>IF(Volume!Z155&gt;'Temp Calcs'!$L$8,1,0)</f>
        <v>0</v>
      </c>
      <c r="AB155" s="8"/>
      <c r="AC155" s="7"/>
    </row>
    <row r="156" spans="1:29" ht="12.75">
      <c r="A156" s="1">
        <v>155</v>
      </c>
      <c r="C156" s="7">
        <f t="shared" si="46"/>
        <v>6093.8</v>
      </c>
      <c r="D156" s="8">
        <f t="shared" si="44"/>
        <v>607.1690418396347</v>
      </c>
      <c r="E156" s="7">
        <f t="shared" si="45"/>
        <v>-4.475862500148739</v>
      </c>
      <c r="F156" s="7"/>
      <c r="G156">
        <f t="shared" si="39"/>
        <v>607.3601934066667</v>
      </c>
      <c r="H156" s="8">
        <f t="shared" si="40"/>
        <v>-0.1911515670319659</v>
      </c>
      <c r="I156" s="30">
        <f>IF(H156&lt;1,(Data!$G$16+14+0.8*Data!$G$17+Data!$G$18*(1-H156))*(1-H156),(Data!$G$16+6+Data!$G$17*(H156-0.6))*(H156-0.6))</f>
        <v>35.23700673455489</v>
      </c>
      <c r="J156" s="28">
        <f t="shared" si="16"/>
        <v>222.1355746095086</v>
      </c>
      <c r="K156" t="str">
        <f t="shared" si="41"/>
        <v>Cut</v>
      </c>
      <c r="L156" s="28">
        <f t="shared" si="42"/>
        <v>222.1355746095086</v>
      </c>
      <c r="M156" s="28">
        <f t="shared" si="43"/>
        <v>0</v>
      </c>
      <c r="N156" s="28">
        <f>SUM($L$3:L156)</f>
        <v>64411.66863107096</v>
      </c>
      <c r="O156" s="28">
        <f>SUM($M$3:M156)</f>
        <v>71260.69773647306</v>
      </c>
      <c r="Q156">
        <f>MATCH(C156,Ground!$A$3:$A$1999,1)</f>
        <v>70</v>
      </c>
      <c r="R156">
        <f ca="1">OFFSET(Ground!$A$2,Volume!Q156,0)</f>
        <v>6070</v>
      </c>
      <c r="S156">
        <f ca="1">OFFSET(Ground!$A$2,Volume!Q156,1)</f>
        <v>608.887107</v>
      </c>
      <c r="T156">
        <f ca="1">OFFSET(Ground!$A$2,Volume!Q156+1,0)</f>
        <v>6100</v>
      </c>
      <c r="U156">
        <f ca="1">OFFSET(Ground!$A$2,Volume!Q156+1,1)</f>
        <v>606.962426</v>
      </c>
      <c r="V156" s="26"/>
      <c r="W156">
        <f t="shared" si="35"/>
        <v>5.207833989391455</v>
      </c>
      <c r="X156">
        <f>IF(Volume!W156&lt;'Temp Calcs'!$E$8,1,0)</f>
        <v>0</v>
      </c>
      <c r="Z156">
        <f t="shared" si="36"/>
        <v>-6.801662295249588</v>
      </c>
      <c r="AA156">
        <f>IF(Volume!Z156&gt;'Temp Calcs'!$L$8,1,0)</f>
        <v>0</v>
      </c>
      <c r="AB156" s="8"/>
      <c r="AC156" s="7"/>
    </row>
    <row r="157" spans="1:29" ht="12.75">
      <c r="A157" s="1">
        <v>156</v>
      </c>
      <c r="C157" s="7">
        <f t="shared" si="46"/>
        <v>6099.8</v>
      </c>
      <c r="D157" s="8">
        <f t="shared" si="44"/>
        <v>606.9059219107639</v>
      </c>
      <c r="E157" s="7">
        <f t="shared" si="45"/>
        <v>-4.294801795538741</v>
      </c>
      <c r="F157" s="7"/>
      <c r="G157">
        <f t="shared" si="39"/>
        <v>606.9752572066667</v>
      </c>
      <c r="H157" s="8">
        <f t="shared" si="40"/>
        <v>-0.06933529590276066</v>
      </c>
      <c r="I157" s="30">
        <f>IF(H157&lt;1,(Data!$G$16+14+0.8*Data!$G$17+Data!$G$18*(1-H157))*(1-H157),(Data!$G$16+6+Data!$G$17*(H157-0.6))*(H157-0.6))</f>
        <v>31.37287599868198</v>
      </c>
      <c r="J157" s="28">
        <f t="shared" si="16"/>
        <v>199.82964819971062</v>
      </c>
      <c r="K157" t="str">
        <f t="shared" si="41"/>
        <v>Cut</v>
      </c>
      <c r="L157" s="28">
        <f t="shared" si="42"/>
        <v>199.82964819971062</v>
      </c>
      <c r="M157" s="28">
        <f t="shared" si="43"/>
        <v>0</v>
      </c>
      <c r="N157" s="28">
        <f>SUM($L$3:L157)</f>
        <v>64611.49827927067</v>
      </c>
      <c r="O157" s="28">
        <f>SUM($M$3:M157)</f>
        <v>71260.69773647306</v>
      </c>
      <c r="Q157">
        <f>MATCH(C157,Ground!$A$3:$A$1999,1)</f>
        <v>70</v>
      </c>
      <c r="R157">
        <f ca="1">OFFSET(Ground!$A$2,Volume!Q157,0)</f>
        <v>6070</v>
      </c>
      <c r="S157">
        <f ca="1">OFFSET(Ground!$A$2,Volume!Q157,1)</f>
        <v>608.887107</v>
      </c>
      <c r="T157">
        <f ca="1">OFFSET(Ground!$A$2,Volume!Q157+1,0)</f>
        <v>6100</v>
      </c>
      <c r="U157">
        <f ca="1">OFFSET(Ground!$A$2,Volume!Q157+1,1)</f>
        <v>606.962426</v>
      </c>
      <c r="V157" s="26"/>
      <c r="W157">
        <f t="shared" si="35"/>
        <v>4.570651929358306</v>
      </c>
      <c r="X157">
        <f>IF(Volume!W157&lt;'Temp Calcs'!$E$8,1,0)</f>
        <v>0</v>
      </c>
      <c r="Z157">
        <f t="shared" si="36"/>
        <v>-6.222197341953898</v>
      </c>
      <c r="AA157">
        <f>IF(Volume!Z157&gt;'Temp Calcs'!$L$8,1,0)</f>
        <v>0</v>
      </c>
      <c r="AB157" s="8"/>
      <c r="AC157" s="7"/>
    </row>
    <row r="158" spans="1:29" ht="12.75">
      <c r="A158" s="1">
        <v>157</v>
      </c>
      <c r="C158" s="7">
        <f t="shared" si="46"/>
        <v>6105.8</v>
      </c>
      <c r="D158" s="8">
        <f t="shared" si="44"/>
        <v>606.6536656241699</v>
      </c>
      <c r="E158" s="7">
        <f t="shared" si="45"/>
        <v>-4.113741090928743</v>
      </c>
      <c r="F158" s="7"/>
      <c r="G158">
        <f t="shared" si="39"/>
        <v>605.9094665466666</v>
      </c>
      <c r="H158" s="8">
        <f t="shared" si="40"/>
        <v>0.7441990775032536</v>
      </c>
      <c r="I158" s="30">
        <f>IF(H158&lt;1,(Data!$G$16+14+0.8*Data!$G$17+Data!$G$18*(1-H158))*(1-H158),(Data!$G$16+6+Data!$G$17*(H158-0.6))*(H158-0.6))</f>
        <v>7.088653315811873</v>
      </c>
      <c r="J158" s="28">
        <f t="shared" si="16"/>
        <v>115.38458794348156</v>
      </c>
      <c r="K158" t="str">
        <f t="shared" si="41"/>
        <v>Fill</v>
      </c>
      <c r="L158" s="28">
        <f t="shared" si="42"/>
        <v>0</v>
      </c>
      <c r="M158" s="28">
        <f t="shared" si="43"/>
        <v>115.38458794348156</v>
      </c>
      <c r="N158" s="28">
        <f>SUM($L$3:L158)</f>
        <v>64611.49827927067</v>
      </c>
      <c r="O158" s="28">
        <f>SUM($M$3:M158)</f>
        <v>71376.08232441654</v>
      </c>
      <c r="Q158">
        <f>MATCH(C158,Ground!$A$3:$A$1999,1)</f>
        <v>71</v>
      </c>
      <c r="R158">
        <f ca="1">OFFSET(Ground!$A$2,Volume!Q158,0)</f>
        <v>6100</v>
      </c>
      <c r="S158">
        <f ca="1">OFFSET(Ground!$A$2,Volume!Q158,1)</f>
        <v>606.962426</v>
      </c>
      <c r="T158">
        <f ca="1">OFFSET(Ground!$A$2,Volume!Q158+1,0)</f>
        <v>6130</v>
      </c>
      <c r="U158">
        <f ca="1">OFFSET(Ground!$A$2,Volume!Q158+1,1)</f>
        <v>601.516084</v>
      </c>
      <c r="V158" s="26"/>
      <c r="W158">
        <f t="shared" si="35"/>
        <v>3.8795690382260637</v>
      </c>
      <c r="X158">
        <f>IF(Volume!W158&lt;'Temp Calcs'!$E$8,1,0)</f>
        <v>0</v>
      </c>
      <c r="Z158">
        <f t="shared" si="36"/>
        <v>-5.590514589814182</v>
      </c>
      <c r="AA158">
        <f>IF(Volume!Z158&gt;'Temp Calcs'!$L$8,1,0)</f>
        <v>0</v>
      </c>
      <c r="AB158" s="8"/>
      <c r="AC158" s="7"/>
    </row>
    <row r="159" spans="1:29" ht="12.75">
      <c r="A159" s="1">
        <v>158</v>
      </c>
      <c r="C159" s="7">
        <f t="shared" si="46"/>
        <v>6111.8</v>
      </c>
      <c r="D159" s="8">
        <f t="shared" si="44"/>
        <v>606.4122729798526</v>
      </c>
      <c r="E159" s="7">
        <f t="shared" si="45"/>
        <v>-3.932680386318746</v>
      </c>
      <c r="F159" s="7"/>
      <c r="G159">
        <f t="shared" si="39"/>
        <v>604.8201981466667</v>
      </c>
      <c r="H159" s="8">
        <f t="shared" si="40"/>
        <v>1.5920748331858476</v>
      </c>
      <c r="I159" s="30">
        <f>IF(H159&lt;1,(Data!$G$16+14+0.8*Data!$G$17+Data!$G$18*(1-H159))*(1-H159),(Data!$G$16+6+Data!$G$17*(H159-0.6))*(H159-0.6))</f>
        <v>19.810047229536472</v>
      </c>
      <c r="J159" s="28">
        <f t="shared" si="16"/>
        <v>80.69610163604504</v>
      </c>
      <c r="K159" t="str">
        <f t="shared" si="41"/>
        <v>Fill</v>
      </c>
      <c r="L159" s="28">
        <f t="shared" si="42"/>
        <v>0</v>
      </c>
      <c r="M159" s="28">
        <f t="shared" si="43"/>
        <v>80.69610163604504</v>
      </c>
      <c r="N159" s="28">
        <f>SUM($L$3:L159)</f>
        <v>64611.49827927067</v>
      </c>
      <c r="O159" s="28">
        <f>SUM($M$3:M159)</f>
        <v>71456.77842605258</v>
      </c>
      <c r="Q159">
        <f>MATCH(C159,Ground!$A$3:$A$1999,1)</f>
        <v>71</v>
      </c>
      <c r="R159">
        <f ca="1">OFFSET(Ground!$A$2,Volume!Q159,0)</f>
        <v>6100</v>
      </c>
      <c r="S159">
        <f ca="1">OFFSET(Ground!$A$2,Volume!Q159,1)</f>
        <v>606.962426</v>
      </c>
      <c r="T159">
        <f ca="1">OFFSET(Ground!$A$2,Volume!Q159+1,0)</f>
        <v>6130</v>
      </c>
      <c r="U159">
        <f ca="1">OFFSET(Ground!$A$2,Volume!Q159+1,1)</f>
        <v>601.516084</v>
      </c>
      <c r="V159" s="26"/>
      <c r="W159">
        <f t="shared" si="35"/>
        <v>3.1318879293701714</v>
      </c>
      <c r="X159">
        <f>IF(Volume!W159&lt;'Temp Calcs'!$E$8,1,0)</f>
        <v>0</v>
      </c>
      <c r="Z159">
        <f t="shared" si="36"/>
        <v>-4.903818865364608</v>
      </c>
      <c r="AA159">
        <f>IF(Volume!Z159&gt;'Temp Calcs'!$L$8,1,0)</f>
        <v>0</v>
      </c>
      <c r="AB159" s="8"/>
      <c r="AC159" s="7"/>
    </row>
    <row r="160" spans="1:29" ht="12.75">
      <c r="A160" s="1">
        <v>159</v>
      </c>
      <c r="C160" s="7">
        <f t="shared" si="46"/>
        <v>6117.8</v>
      </c>
      <c r="D160" s="8">
        <f t="shared" si="44"/>
        <v>606.1817439778117</v>
      </c>
      <c r="E160" s="7">
        <f t="shared" si="45"/>
        <v>-3.751619681708748</v>
      </c>
      <c r="F160" s="7"/>
      <c r="G160">
        <f t="shared" si="39"/>
        <v>603.7309297466667</v>
      </c>
      <c r="H160" s="8">
        <f t="shared" si="40"/>
        <v>2.4508142311450456</v>
      </c>
      <c r="I160" s="30">
        <f>IF(H160&lt;1,(Data!$G$16+14+0.8*Data!$G$17+Data!$G$18*(1-H160))*(1-H160),(Data!$G$16+6+Data!$G$17*(H160-0.6))*(H160-0.6))</f>
        <v>43.31508097115684</v>
      </c>
      <c r="J160" s="28">
        <f t="shared" si="16"/>
        <v>189.37538460207992</v>
      </c>
      <c r="K160" t="str">
        <f t="shared" si="41"/>
        <v>Fill</v>
      </c>
      <c r="L160" s="28">
        <f t="shared" si="42"/>
        <v>0</v>
      </c>
      <c r="M160" s="28">
        <f t="shared" si="43"/>
        <v>189.37538460207992</v>
      </c>
      <c r="N160" s="28">
        <f>SUM($L$3:L160)</f>
        <v>64611.49827927067</v>
      </c>
      <c r="O160" s="28">
        <f>SUM($M$3:M160)</f>
        <v>71646.15381065466</v>
      </c>
      <c r="Q160">
        <f>MATCH(C160,Ground!$A$3:$A$1999,1)</f>
        <v>71</v>
      </c>
      <c r="R160">
        <f ca="1">OFFSET(Ground!$A$2,Volume!Q160,0)</f>
        <v>6100</v>
      </c>
      <c r="S160">
        <f ca="1">OFFSET(Ground!$A$2,Volume!Q160,1)</f>
        <v>606.962426</v>
      </c>
      <c r="T160">
        <f ca="1">OFFSET(Ground!$A$2,Volume!Q160+1,0)</f>
        <v>6130</v>
      </c>
      <c r="U160">
        <f ca="1">OFFSET(Ground!$A$2,Volume!Q160+1,1)</f>
        <v>601.516084</v>
      </c>
      <c r="V160" s="26"/>
      <c r="W160">
        <f t="shared" si="35"/>
        <v>2.3250680631325933</v>
      </c>
      <c r="X160">
        <f>IF(Volume!W160&lt;'Temp Calcs'!$E$8,1,0)</f>
        <v>0</v>
      </c>
      <c r="Z160">
        <f t="shared" si="36"/>
        <v>-4.159441288483747</v>
      </c>
      <c r="AA160">
        <f>IF(Volume!Z160&gt;'Temp Calcs'!$L$8,1,0)</f>
        <v>0</v>
      </c>
      <c r="AB160" s="8"/>
      <c r="AC160" s="7"/>
    </row>
    <row r="161" spans="1:29" ht="12.75">
      <c r="A161" s="1">
        <v>160</v>
      </c>
      <c r="C161" s="7">
        <f t="shared" si="46"/>
        <v>6123.8</v>
      </c>
      <c r="D161" s="8">
        <f t="shared" si="44"/>
        <v>605.9620786180475</v>
      </c>
      <c r="E161" s="7">
        <f t="shared" si="45"/>
        <v>-3.5705589770987505</v>
      </c>
      <c r="F161" s="7"/>
      <c r="G161">
        <f t="shared" si="39"/>
        <v>602.6416613466666</v>
      </c>
      <c r="H161" s="8">
        <f t="shared" si="40"/>
        <v>3.3204172713808475</v>
      </c>
      <c r="I161" s="30">
        <f>IF(H161&lt;1,(Data!$G$16+14+0.8*Data!$G$17+Data!$G$18*(1-H161))*(1-H161),(Data!$G$16+6+Data!$G$17*(H161-0.6))*(H161-0.6))</f>
        <v>73.12935686380243</v>
      </c>
      <c r="J161" s="28">
        <f t="shared" si="16"/>
        <v>349.3333135048778</v>
      </c>
      <c r="K161" t="str">
        <f t="shared" si="41"/>
        <v>Fill</v>
      </c>
      <c r="L161" s="28">
        <f t="shared" si="42"/>
        <v>0</v>
      </c>
      <c r="M161" s="28">
        <f t="shared" si="43"/>
        <v>349.3333135048778</v>
      </c>
      <c r="N161" s="28">
        <f>SUM($L$3:L161)</f>
        <v>64611.49827927067</v>
      </c>
      <c r="O161" s="28">
        <f>SUM($M$3:M161)</f>
        <v>71995.48712415954</v>
      </c>
      <c r="Q161">
        <f>MATCH(C161,Ground!$A$3:$A$1999,1)</f>
        <v>71</v>
      </c>
      <c r="R161">
        <f ca="1">OFFSET(Ground!$A$2,Volume!Q161,0)</f>
        <v>6100</v>
      </c>
      <c r="S161">
        <f ca="1">OFFSET(Ground!$A$2,Volume!Q161,1)</f>
        <v>606.962426</v>
      </c>
      <c r="T161">
        <f ca="1">OFFSET(Ground!$A$2,Volume!Q161+1,0)</f>
        <v>6130</v>
      </c>
      <c r="U161">
        <f ca="1">OFFSET(Ground!$A$2,Volume!Q161+1,1)</f>
        <v>601.516084</v>
      </c>
      <c r="V161" s="26"/>
      <c r="W161">
        <f t="shared" si="35"/>
        <v>1.4567993466118014</v>
      </c>
      <c r="X161">
        <f>IF(Volume!W161&lt;'Temp Calcs'!$E$8,1,0)</f>
        <v>1</v>
      </c>
      <c r="Z161">
        <f t="shared" si="36"/>
        <v>-3.354909244477333</v>
      </c>
      <c r="AA161">
        <f>IF(Volume!Z161&gt;'Temp Calcs'!$L$8,1,0)</f>
        <v>0</v>
      </c>
      <c r="AB161" s="8"/>
      <c r="AC161" s="7"/>
    </row>
    <row r="162" spans="1:29" ht="12.75">
      <c r="A162" s="1">
        <v>161</v>
      </c>
      <c r="C162" s="7">
        <f t="shared" si="46"/>
        <v>6129.8</v>
      </c>
      <c r="D162" s="8">
        <f t="shared" si="44"/>
        <v>605.7532769005599</v>
      </c>
      <c r="E162" s="7">
        <f t="shared" si="45"/>
        <v>-3.389498272488753</v>
      </c>
      <c r="F162" s="7"/>
      <c r="G162">
        <f t="shared" si="39"/>
        <v>601.5523929466666</v>
      </c>
      <c r="H162" s="8">
        <f t="shared" si="40"/>
        <v>4.200883953893253</v>
      </c>
      <c r="I162" s="30">
        <f>IF(H162&lt;1,(Data!$G$16+14+0.8*Data!$G$17+Data!$G$18*(1-H162))*(1-H162),(Data!$G$16+6+Data!$G$17*(H162-0.6))*(H162-0.6))</f>
        <v>109.4796042599157</v>
      </c>
      <c r="J162" s="28">
        <f t="shared" si="16"/>
        <v>547.8268833711544</v>
      </c>
      <c r="K162" t="str">
        <f t="shared" si="41"/>
        <v>Fill</v>
      </c>
      <c r="L162" s="28">
        <f t="shared" si="42"/>
        <v>0</v>
      </c>
      <c r="M162" s="28">
        <f t="shared" si="43"/>
        <v>547.8268833711544</v>
      </c>
      <c r="N162" s="28">
        <f>SUM($L$3:L162)</f>
        <v>64611.49827927067</v>
      </c>
      <c r="O162" s="28">
        <f>SUM($M$3:M162)</f>
        <v>72543.31400753069</v>
      </c>
      <c r="Q162">
        <f>MATCH(C162,Ground!$A$3:$A$1999,1)</f>
        <v>71</v>
      </c>
      <c r="R162">
        <f ca="1">OFFSET(Ground!$A$2,Volume!Q162,0)</f>
        <v>6100</v>
      </c>
      <c r="S162">
        <f ca="1">OFFSET(Ground!$A$2,Volume!Q162,1)</f>
        <v>606.962426</v>
      </c>
      <c r="T162">
        <f ca="1">OFFSET(Ground!$A$2,Volume!Q162+1,0)</f>
        <v>6130</v>
      </c>
      <c r="U162">
        <f ca="1">OFFSET(Ground!$A$2,Volume!Q162+1,1)</f>
        <v>601.516084</v>
      </c>
      <c r="V162" s="26"/>
      <c r="W162">
        <f t="shared" si="35"/>
        <v>0.5250866355662799</v>
      </c>
      <c r="X162">
        <f>IF(Volume!W162&lt;'Temp Calcs'!$E$8,1,0)</f>
        <v>1</v>
      </c>
      <c r="Z162">
        <f t="shared" si="36"/>
        <v>-2.488027329271977</v>
      </c>
      <c r="AA162">
        <f>IF(Volume!Z162&gt;'Temp Calcs'!$L$8,1,0)</f>
        <v>0</v>
      </c>
      <c r="AB162" s="8"/>
      <c r="AC162" s="7"/>
    </row>
    <row r="163" spans="1:29" ht="12.75">
      <c r="A163" s="1">
        <v>162</v>
      </c>
      <c r="C163" s="7">
        <f t="shared" si="46"/>
        <v>6135.8</v>
      </c>
      <c r="D163" s="8">
        <f t="shared" si="44"/>
        <v>605.5553388253488</v>
      </c>
      <c r="E163" s="7">
        <f t="shared" si="45"/>
        <v>-3.2084375678787556</v>
      </c>
      <c r="F163" s="7"/>
      <c r="G163">
        <f t="shared" si="39"/>
        <v>601.9339011133333</v>
      </c>
      <c r="H163" s="8">
        <f t="shared" si="40"/>
        <v>3.621437712015563</v>
      </c>
      <c r="I163" s="30">
        <f>IF(H163&lt;1,(Data!$G$16+14+0.8*Data!$G$17+Data!$G$18*(1-H163))*(1-H163),(Data!$G$16+6+Data!$G$17*(H163-0.6))*(H163-0.6))</f>
        <v>84.85934678260838</v>
      </c>
      <c r="J163" s="28">
        <f t="shared" si="16"/>
        <v>583.0168531275723</v>
      </c>
      <c r="K163" t="str">
        <f t="shared" si="41"/>
        <v>Fill</v>
      </c>
      <c r="L163" s="28">
        <f t="shared" si="42"/>
        <v>0</v>
      </c>
      <c r="M163" s="28">
        <f t="shared" si="43"/>
        <v>583.0168531275723</v>
      </c>
      <c r="N163" s="28">
        <f>SUM($L$3:L163)</f>
        <v>64611.49827927067</v>
      </c>
      <c r="O163" s="28">
        <f>SUM($M$3:M163)</f>
        <v>73126.33086065826</v>
      </c>
      <c r="Q163">
        <f>MATCH(C163,Ground!$A$3:$A$1999,1)</f>
        <v>72</v>
      </c>
      <c r="R163">
        <f ca="1">OFFSET(Ground!$A$2,Volume!Q163,0)</f>
        <v>6130</v>
      </c>
      <c r="S163">
        <f ca="1">OFFSET(Ground!$A$2,Volume!Q163,1)</f>
        <v>601.516084</v>
      </c>
      <c r="T163">
        <f ca="1">OFFSET(Ground!$A$2,Volume!Q163+1,0)</f>
        <v>6160</v>
      </c>
      <c r="U163">
        <f ca="1">OFFSET(Ground!$A$2,Volume!Q163+1,1)</f>
        <v>603.677207</v>
      </c>
      <c r="V163" s="26"/>
      <c r="W163">
        <f t="shared" si="35"/>
        <v>-0.47165514645484935</v>
      </c>
      <c r="X163">
        <f>IF(Volume!W163&lt;'Temp Calcs'!$E$8,1,0)</f>
        <v>1</v>
      </c>
      <c r="Z163">
        <f t="shared" si="36"/>
        <v>-1.556969139372486</v>
      </c>
      <c r="AA163">
        <f>IF(Volume!Z163&gt;'Temp Calcs'!$L$8,1,0)</f>
        <v>0</v>
      </c>
      <c r="AB163" s="8"/>
      <c r="AC163" s="7"/>
    </row>
    <row r="164" spans="1:29" ht="12.75">
      <c r="A164" s="1">
        <v>163</v>
      </c>
      <c r="C164" s="7">
        <f t="shared" si="46"/>
        <v>6141.8</v>
      </c>
      <c r="D164" s="8">
        <f t="shared" si="44"/>
        <v>605.3682643924144</v>
      </c>
      <c r="E164" s="7">
        <f t="shared" si="45"/>
        <v>-3.027376863268758</v>
      </c>
      <c r="F164" s="7"/>
      <c r="G164">
        <f t="shared" si="39"/>
        <v>602.3661257133333</v>
      </c>
      <c r="H164" s="8">
        <f t="shared" si="40"/>
        <v>3.0021386790810993</v>
      </c>
      <c r="I164" s="30">
        <f>IF(H164&lt;1,(Data!$G$16+14+0.8*Data!$G$17+Data!$G$18*(1-H164))*(1-H164),(Data!$G$16+6+Data!$G$17*(H164-0.6))*(H164-0.6))</f>
        <v>61.51529979944755</v>
      </c>
      <c r="J164" s="28">
        <f aca="true" t="shared" si="47" ref="J164:J227">(I164+I163)/2*(C164-C163)</f>
        <v>439.1239397461678</v>
      </c>
      <c r="K164" t="str">
        <f t="shared" si="41"/>
        <v>Fill</v>
      </c>
      <c r="L164" s="28">
        <f t="shared" si="42"/>
        <v>0</v>
      </c>
      <c r="M164" s="28">
        <f t="shared" si="43"/>
        <v>439.1239397461678</v>
      </c>
      <c r="N164" s="28">
        <f>SUM($L$3:L164)</f>
        <v>64611.49827927067</v>
      </c>
      <c r="O164" s="28">
        <f>SUM($M$3:M164)</f>
        <v>73565.45480040442</v>
      </c>
      <c r="Q164">
        <f>MATCH(C164,Ground!$A$3:$A$1999,1)</f>
        <v>72</v>
      </c>
      <c r="R164">
        <f ca="1">OFFSET(Ground!$A$2,Volume!Q164,0)</f>
        <v>6130</v>
      </c>
      <c r="S164">
        <f ca="1">OFFSET(Ground!$A$2,Volume!Q164,1)</f>
        <v>601.516084</v>
      </c>
      <c r="T164">
        <f ca="1">OFFSET(Ground!$A$2,Volume!Q164+1,0)</f>
        <v>6160</v>
      </c>
      <c r="U164">
        <f ca="1">OFFSET(Ground!$A$2,Volume!Q164+1,1)</f>
        <v>603.677207</v>
      </c>
      <c r="V164" s="26"/>
      <c r="W164">
        <f t="shared" si="35"/>
        <v>-1.5344962099933817</v>
      </c>
      <c r="X164">
        <f>IF(Volume!W164&lt;'Temp Calcs'!$E$8,1,0)</f>
        <v>1</v>
      </c>
      <c r="Z164">
        <f t="shared" si="36"/>
        <v>-0.5603791620112436</v>
      </c>
      <c r="AA164">
        <f>IF(Volume!Z164&gt;'Temp Calcs'!$L$8,1,0)</f>
        <v>0</v>
      </c>
      <c r="AB164" s="8"/>
      <c r="AC164" s="7"/>
    </row>
    <row r="165" spans="1:29" ht="12.75">
      <c r="A165" s="1">
        <v>164</v>
      </c>
      <c r="C165" s="7">
        <f t="shared" si="46"/>
        <v>6147.8</v>
      </c>
      <c r="D165" s="8">
        <f t="shared" si="44"/>
        <v>605.1920536017566</v>
      </c>
      <c r="E165" s="7">
        <f t="shared" si="45"/>
        <v>-2.8463161586587606</v>
      </c>
      <c r="F165" s="7"/>
      <c r="G165">
        <f t="shared" si="39"/>
        <v>602.7983503133333</v>
      </c>
      <c r="H165" s="8">
        <f t="shared" si="40"/>
        <v>2.3937032884232394</v>
      </c>
      <c r="I165" s="30">
        <f>IF(H165&lt;1,(Data!$G$16+14+0.8*Data!$G$17+Data!$G$18*(1-H165))*(1-H165),(Data!$G$16+6+Data!$G$17*(H165-0.6))*(H165-0.6))</f>
        <v>41.568738562373206</v>
      </c>
      <c r="J165" s="28">
        <f t="shared" si="47"/>
        <v>309.25211508546226</v>
      </c>
      <c r="K165" t="str">
        <f t="shared" si="41"/>
        <v>Fill</v>
      </c>
      <c r="L165" s="28">
        <f t="shared" si="42"/>
        <v>0</v>
      </c>
      <c r="M165" s="28">
        <f t="shared" si="43"/>
        <v>309.25211508546226</v>
      </c>
      <c r="N165" s="28">
        <f>SUM($L$3:L165)</f>
        <v>64611.49827927067</v>
      </c>
      <c r="O165" s="28">
        <f>SUM($M$3:M165)</f>
        <v>73874.70691548988</v>
      </c>
      <c r="Q165">
        <f>MATCH(C165,Ground!$A$3:$A$1999,1)</f>
        <v>72</v>
      </c>
      <c r="R165">
        <f ca="1">OFFSET(Ground!$A$2,Volume!Q165,0)</f>
        <v>6130</v>
      </c>
      <c r="S165">
        <f ca="1">OFFSET(Ground!$A$2,Volume!Q165,1)</f>
        <v>601.516084</v>
      </c>
      <c r="T165">
        <f ca="1">OFFSET(Ground!$A$2,Volume!Q165+1,0)</f>
        <v>6160</v>
      </c>
      <c r="U165">
        <f ca="1">OFFSET(Ground!$A$2,Volume!Q165+1,1)</f>
        <v>603.677207</v>
      </c>
      <c r="V165" s="26"/>
      <c r="W165">
        <f t="shared" si="35"/>
        <v>-2.663879180727038</v>
      </c>
      <c r="X165">
        <f>IF(Volume!W165&lt;'Temp Calcs'!$E$8,1,0)</f>
        <v>1</v>
      </c>
      <c r="Z165">
        <f t="shared" si="36"/>
        <v>0.5025167622872452</v>
      </c>
      <c r="AA165">
        <f>IF(Volume!Z165&gt;'Temp Calcs'!$L$8,1,0)</f>
        <v>0</v>
      </c>
      <c r="AB165" s="8"/>
      <c r="AC165" s="7"/>
    </row>
    <row r="166" spans="1:29" ht="12.75">
      <c r="A166" s="1">
        <v>165</v>
      </c>
      <c r="C166" s="7">
        <f t="shared" si="46"/>
        <v>6153.8</v>
      </c>
      <c r="D166" s="8">
        <f t="shared" si="44"/>
        <v>605.0267064533754</v>
      </c>
      <c r="E166" s="7">
        <f t="shared" si="45"/>
        <v>-2.665255454048763</v>
      </c>
      <c r="F166" s="7"/>
      <c r="G166">
        <f t="shared" si="39"/>
        <v>603.2305749133333</v>
      </c>
      <c r="H166" s="8">
        <f t="shared" si="40"/>
        <v>1.7961315400420972</v>
      </c>
      <c r="I166" s="30">
        <f>IF(H166&lt;1,(Data!$G$16+14+0.8*Data!$G$17+Data!$G$18*(1-H166))*(1-H166),(Data!$G$16+6+Data!$G$17*(H166-0.6))*(H166-0.6))</f>
        <v>24.86102728500747</v>
      </c>
      <c r="J166" s="28">
        <f t="shared" si="47"/>
        <v>199.28929754214204</v>
      </c>
      <c r="K166" t="str">
        <f t="shared" si="41"/>
        <v>Fill</v>
      </c>
      <c r="L166" s="28">
        <f t="shared" si="42"/>
        <v>0</v>
      </c>
      <c r="M166" s="28">
        <f t="shared" si="43"/>
        <v>199.28929754214204</v>
      </c>
      <c r="N166" s="28">
        <f>SUM($L$3:L166)</f>
        <v>64611.49827927067</v>
      </c>
      <c r="O166" s="28">
        <f>SUM($M$3:M166)</f>
        <v>74073.99621303202</v>
      </c>
      <c r="Q166">
        <f>MATCH(C166,Ground!$A$3:$A$1999,1)</f>
        <v>72</v>
      </c>
      <c r="R166">
        <f ca="1">OFFSET(Ground!$A$2,Volume!Q166,0)</f>
        <v>6130</v>
      </c>
      <c r="S166">
        <f ca="1">OFFSET(Ground!$A$2,Volume!Q166,1)</f>
        <v>601.516084</v>
      </c>
      <c r="T166">
        <f ca="1">OFFSET(Ground!$A$2,Volume!Q166+1,0)</f>
        <v>6160</v>
      </c>
      <c r="U166">
        <f ca="1">OFFSET(Ground!$A$2,Volume!Q166+1,1)</f>
        <v>603.677207</v>
      </c>
      <c r="V166" s="26"/>
      <c r="W166">
        <f t="shared" si="35"/>
        <v>-3.8595011961293477</v>
      </c>
      <c r="X166">
        <f>IF(Volume!W166&lt;'Temp Calcs'!$E$8,1,0)</f>
        <v>1</v>
      </c>
      <c r="Z166">
        <f t="shared" si="36"/>
        <v>1.6317948780171663</v>
      </c>
      <c r="AA166">
        <f>IF(Volume!Z166&gt;'Temp Calcs'!$L$8,1,0)</f>
        <v>0</v>
      </c>
      <c r="AB166" s="8"/>
      <c r="AC166" s="7"/>
    </row>
    <row r="167" spans="1:29" ht="12.75">
      <c r="A167" s="1">
        <v>166</v>
      </c>
      <c r="C167" s="7">
        <f t="shared" si="46"/>
        <v>6159.8</v>
      </c>
      <c r="D167" s="8">
        <f t="shared" si="44"/>
        <v>604.8722229472706</v>
      </c>
      <c r="E167" s="7">
        <f t="shared" si="45"/>
        <v>-2.4841947494387657</v>
      </c>
      <c r="F167" s="7"/>
      <c r="G167">
        <f t="shared" si="39"/>
        <v>603.6627995133333</v>
      </c>
      <c r="H167" s="8">
        <f t="shared" si="40"/>
        <v>1.2094234339373315</v>
      </c>
      <c r="I167" s="30">
        <f>IF(H167&lt;1,(Data!$G$16+14+0.8*Data!$G$17+Data!$G$18*(1-H167))*(1-H167),(Data!$G$16+6+Data!$G$17*(H167-0.6))*(H167-0.6))</f>
        <v>11.236362630325182</v>
      </c>
      <c r="J167" s="28">
        <f t="shared" si="47"/>
        <v>108.29216974599797</v>
      </c>
      <c r="K167" t="str">
        <f t="shared" si="41"/>
        <v>Fill</v>
      </c>
      <c r="L167" s="28">
        <f t="shared" si="42"/>
        <v>0</v>
      </c>
      <c r="M167" s="28">
        <f t="shared" si="43"/>
        <v>108.29216974599797</v>
      </c>
      <c r="N167" s="28">
        <f>SUM($L$3:L167)</f>
        <v>64611.49827927067</v>
      </c>
      <c r="O167" s="28">
        <f>SUM($M$3:M167)</f>
        <v>74182.28838277802</v>
      </c>
      <c r="Q167">
        <f>MATCH(C167,Ground!$A$3:$A$1999,1)</f>
        <v>72</v>
      </c>
      <c r="R167">
        <f ca="1">OFFSET(Ground!$A$2,Volume!Q167,0)</f>
        <v>6130</v>
      </c>
      <c r="S167">
        <f ca="1">OFFSET(Ground!$A$2,Volume!Q167,1)</f>
        <v>601.516084</v>
      </c>
      <c r="T167">
        <f ca="1">OFFSET(Ground!$A$2,Volume!Q167+1,0)</f>
        <v>6160</v>
      </c>
      <c r="U167">
        <f ca="1">OFFSET(Ground!$A$2,Volume!Q167+1,1)</f>
        <v>603.677207</v>
      </c>
      <c r="V167" s="26"/>
      <c r="W167">
        <f t="shared" si="35"/>
        <v>-5.120194661042633</v>
      </c>
      <c r="X167">
        <f>IF(Volume!W167&lt;'Temp Calcs'!$E$8,1,0)</f>
        <v>1</v>
      </c>
      <c r="Z167">
        <f t="shared" si="36"/>
        <v>2.826714409735739</v>
      </c>
      <c r="AA167">
        <f>IF(Volume!Z167&gt;'Temp Calcs'!$L$8,1,0)</f>
        <v>1</v>
      </c>
      <c r="AB167" s="8"/>
      <c r="AC167" s="7"/>
    </row>
    <row r="168" spans="1:29" ht="12.75">
      <c r="A168" s="1">
        <v>167</v>
      </c>
      <c r="C168" s="7">
        <f t="shared" si="46"/>
        <v>6165.8</v>
      </c>
      <c r="D168" s="8">
        <f t="shared" si="44"/>
        <v>604.7286030834426</v>
      </c>
      <c r="E168" s="7">
        <f t="shared" si="45"/>
        <v>-2.303134044828768</v>
      </c>
      <c r="F168" s="7"/>
      <c r="G168">
        <f t="shared" si="39"/>
        <v>603.5456372866666</v>
      </c>
      <c r="H168" s="8">
        <f t="shared" si="40"/>
        <v>1.1829657967759886</v>
      </c>
      <c r="I168" s="30">
        <f>IF(H168&lt;1,(Data!$G$16+14+0.8*Data!$G$17+Data!$G$18*(1-H168))*(1-H168),(Data!$G$16+6+Data!$G$17*(H168-0.6))*(H168-0.6))</f>
        <v>10.68684922925847</v>
      </c>
      <c r="J168" s="28">
        <f t="shared" si="47"/>
        <v>65.76963557875095</v>
      </c>
      <c r="K168" t="str">
        <f t="shared" si="41"/>
        <v>Fill</v>
      </c>
      <c r="L168" s="28">
        <f t="shared" si="42"/>
        <v>0</v>
      </c>
      <c r="M168" s="28">
        <f t="shared" si="43"/>
        <v>65.76963557875095</v>
      </c>
      <c r="N168" s="28">
        <f>SUM($L$3:L168)</f>
        <v>64611.49827927067</v>
      </c>
      <c r="O168" s="28">
        <f>SUM($M$3:M168)</f>
        <v>74248.05801835677</v>
      </c>
      <c r="Q168">
        <f>MATCH(C168,Ground!$A$3:$A$1999,1)</f>
        <v>73</v>
      </c>
      <c r="R168">
        <f ca="1">OFFSET(Ground!$A$2,Volume!Q168,0)</f>
        <v>6160</v>
      </c>
      <c r="S168">
        <f ca="1">OFFSET(Ground!$A$2,Volume!Q168,1)</f>
        <v>603.677207</v>
      </c>
      <c r="T168">
        <f ca="1">OFFSET(Ground!$A$2,Volume!Q168+1,0)</f>
        <v>6190</v>
      </c>
      <c r="U168">
        <f ca="1">OFFSET(Ground!$A$2,Volume!Q168+1,1)</f>
        <v>602.996674</v>
      </c>
      <c r="V168" s="26"/>
      <c r="W168">
        <f t="shared" si="35"/>
        <v>-6.443811683149824</v>
      </c>
      <c r="X168">
        <f>IF(Volume!W168&lt;'Temp Calcs'!$E$8,1,0)</f>
        <v>1</v>
      </c>
      <c r="Z168">
        <f t="shared" si="36"/>
        <v>4.085600637166355</v>
      </c>
      <c r="AA168">
        <f>IF(Volume!Z168&gt;'Temp Calcs'!$L$8,1,0)</f>
        <v>1</v>
      </c>
      <c r="AB168" s="8"/>
      <c r="AC168" s="7"/>
    </row>
    <row r="169" spans="1:29" ht="12.75">
      <c r="A169" s="1">
        <v>168</v>
      </c>
      <c r="C169" s="7">
        <f t="shared" si="46"/>
        <v>6171.8</v>
      </c>
      <c r="D169" s="8">
        <f t="shared" si="44"/>
        <v>604.5958468618912</v>
      </c>
      <c r="E169" s="7">
        <f t="shared" si="45"/>
        <v>-2.1220733402187704</v>
      </c>
      <c r="F169" s="7"/>
      <c r="G169">
        <f t="shared" si="39"/>
        <v>603.4095306866666</v>
      </c>
      <c r="H169" s="8">
        <f t="shared" si="40"/>
        <v>1.186316175224647</v>
      </c>
      <c r="I169" s="30">
        <f>IF(H169&lt;1,(Data!$G$16+14+0.8*Data!$G$17+Data!$G$18*(1-H169))*(1-H169),(Data!$G$16+6+Data!$G$17*(H169-0.6))*(H169-0.6))</f>
        <v>10.756125432914589</v>
      </c>
      <c r="J169" s="28">
        <f t="shared" si="47"/>
        <v>64.32892398651917</v>
      </c>
      <c r="K169" t="str">
        <f t="shared" si="41"/>
        <v>Fill</v>
      </c>
      <c r="L169" s="28">
        <f t="shared" si="42"/>
        <v>0</v>
      </c>
      <c r="M169" s="28">
        <f t="shared" si="43"/>
        <v>64.32892398651917</v>
      </c>
      <c r="N169" s="28">
        <f>SUM($L$3:L169)</f>
        <v>64611.49827927067</v>
      </c>
      <c r="O169" s="28">
        <f>SUM($M$3:M169)</f>
        <v>74312.38694234329</v>
      </c>
      <c r="Q169">
        <f>MATCH(C169,Ground!$A$3:$A$1999,1)</f>
        <v>73</v>
      </c>
      <c r="R169">
        <f ca="1">OFFSET(Ground!$A$2,Volume!Q169,0)</f>
        <v>6160</v>
      </c>
      <c r="S169">
        <f ca="1">OFFSET(Ground!$A$2,Volume!Q169,1)</f>
        <v>603.677207</v>
      </c>
      <c r="T169">
        <f ca="1">OFFSET(Ground!$A$2,Volume!Q169+1,0)</f>
        <v>6190</v>
      </c>
      <c r="U169">
        <f ca="1">OFFSET(Ground!$A$2,Volume!Q169+1,1)</f>
        <v>602.996674</v>
      </c>
      <c r="V169" s="26"/>
      <c r="W169">
        <f t="shared" si="35"/>
        <v>-7.827118367656131</v>
      </c>
      <c r="X169">
        <f>IF(Volume!W169&lt;'Temp Calcs'!$E$8,1,0)</f>
        <v>1</v>
      </c>
      <c r="Z169">
        <f t="shared" si="36"/>
        <v>5.405736042008447</v>
      </c>
      <c r="AA169">
        <f>IF(Volume!Z169&gt;'Temp Calcs'!$L$8,1,0)</f>
        <v>1</v>
      </c>
      <c r="AB169" s="8"/>
      <c r="AC169" s="7"/>
    </row>
    <row r="170" spans="1:29" ht="12.75">
      <c r="A170" s="1">
        <v>169</v>
      </c>
      <c r="C170" s="7">
        <f t="shared" si="46"/>
        <v>6177.8</v>
      </c>
      <c r="D170" s="8">
        <f t="shared" si="44"/>
        <v>604.4739542826164</v>
      </c>
      <c r="E170" s="7">
        <f t="shared" si="45"/>
        <v>-1.941012635608773</v>
      </c>
      <c r="F170" s="7"/>
      <c r="G170">
        <f t="shared" si="39"/>
        <v>603.2734240866666</v>
      </c>
      <c r="H170" s="8">
        <f t="shared" si="40"/>
        <v>1.2005301959497956</v>
      </c>
      <c r="I170" s="30">
        <f>IF(H170&lt;1,(Data!$G$16+14+0.8*Data!$G$17+Data!$G$18*(1-H170))*(1-H170),(Data!$G$16+6+Data!$G$17*(H170-0.6))*(H170-0.6))</f>
        <v>11.051029200186731</v>
      </c>
      <c r="J170" s="28">
        <f t="shared" si="47"/>
        <v>65.42146389930396</v>
      </c>
      <c r="K170" t="str">
        <f t="shared" si="41"/>
        <v>Fill</v>
      </c>
      <c r="L170" s="28">
        <f t="shared" si="42"/>
        <v>0</v>
      </c>
      <c r="M170" s="28">
        <f t="shared" si="43"/>
        <v>65.42146389930396</v>
      </c>
      <c r="N170" s="28">
        <f>SUM($L$3:L170)</f>
        <v>64611.49827927067</v>
      </c>
      <c r="O170" s="28">
        <f>SUM($M$3:M170)</f>
        <v>74377.80840624259</v>
      </c>
      <c r="Q170">
        <f>MATCH(C170,Ground!$A$3:$A$1999,1)</f>
        <v>73</v>
      </c>
      <c r="R170">
        <f ca="1">OFFSET(Ground!$A$2,Volume!Q170,0)</f>
        <v>6160</v>
      </c>
      <c r="S170">
        <f ca="1">OFFSET(Ground!$A$2,Volume!Q170,1)</f>
        <v>603.677207</v>
      </c>
      <c r="T170">
        <f ca="1">OFFSET(Ground!$A$2,Volume!Q170+1,0)</f>
        <v>6190</v>
      </c>
      <c r="U170">
        <f ca="1">OFFSET(Ground!$A$2,Volume!Q170+1,1)</f>
        <v>602.996674</v>
      </c>
      <c r="V170" s="26"/>
      <c r="W170">
        <f t="shared" si="35"/>
        <v>-9.265706165461859</v>
      </c>
      <c r="X170">
        <f>IF(Volume!W170&lt;'Temp Calcs'!$E$8,1,0)</f>
        <v>1</v>
      </c>
      <c r="Z170">
        <f t="shared" si="36"/>
        <v>6.783266469423851</v>
      </c>
      <c r="AA170">
        <f>IF(Volume!Z170&gt;'Temp Calcs'!$L$8,1,0)</f>
        <v>1</v>
      </c>
      <c r="AB170" s="8"/>
      <c r="AC170" s="7"/>
    </row>
    <row r="171" spans="1:29" ht="12.75">
      <c r="A171" s="1">
        <v>170</v>
      </c>
      <c r="C171" s="7">
        <f t="shared" si="46"/>
        <v>6183.8</v>
      </c>
      <c r="D171" s="8">
        <f t="shared" si="44"/>
        <v>604.3629253456182</v>
      </c>
      <c r="E171" s="7">
        <f t="shared" si="45"/>
        <v>-1.7599519309987754</v>
      </c>
      <c r="F171" s="7"/>
      <c r="G171">
        <f t="shared" si="39"/>
        <v>603.1373174866667</v>
      </c>
      <c r="H171" s="8">
        <f t="shared" si="40"/>
        <v>1.2256078589515482</v>
      </c>
      <c r="I171" s="30">
        <f>IF(H171&lt;1,(Data!$G$16+14+0.8*Data!$G$17+Data!$G$18*(1-H171))*(1-H171),(Data!$G$16+6+Data!$G$17*(H171-0.6))*(H171-0.6))</f>
        <v>11.575266515952533</v>
      </c>
      <c r="J171" s="28">
        <f t="shared" si="47"/>
        <v>67.87888714841779</v>
      </c>
      <c r="K171" t="str">
        <f t="shared" si="41"/>
        <v>Fill</v>
      </c>
      <c r="L171" s="28">
        <f t="shared" si="42"/>
        <v>0</v>
      </c>
      <c r="M171" s="28">
        <f t="shared" si="43"/>
        <v>67.87888714841779</v>
      </c>
      <c r="N171" s="28">
        <f>SUM($L$3:L171)</f>
        <v>64611.49827927067</v>
      </c>
      <c r="O171" s="28">
        <f>SUM($M$3:M171)</f>
        <v>74445.687293391</v>
      </c>
      <c r="Q171">
        <f>MATCH(C171,Ground!$A$3:$A$1999,1)</f>
        <v>73</v>
      </c>
      <c r="R171">
        <f ca="1">OFFSET(Ground!$A$2,Volume!Q171,0)</f>
        <v>6160</v>
      </c>
      <c r="S171">
        <f ca="1">OFFSET(Ground!$A$2,Volume!Q171,1)</f>
        <v>603.677207</v>
      </c>
      <c r="T171">
        <f ca="1">OFFSET(Ground!$A$2,Volume!Q171+1,0)</f>
        <v>6190</v>
      </c>
      <c r="U171">
        <f ca="1">OFFSET(Ground!$A$2,Volume!Q171+1,1)</f>
        <v>602.996674</v>
      </c>
      <c r="V171" s="26"/>
      <c r="W171">
        <f t="shared" si="35"/>
        <v>-10.753928187139563</v>
      </c>
      <c r="X171">
        <f>IF(Volume!W171&lt;'Temp Calcs'!$E$8,1,0)</f>
        <v>1</v>
      </c>
      <c r="Z171">
        <f t="shared" si="36"/>
        <v>8.213130033060514</v>
      </c>
      <c r="AA171">
        <f>IF(Volume!Z171&gt;'Temp Calcs'!$L$8,1,0)</f>
        <v>1</v>
      </c>
      <c r="AB171" s="8"/>
      <c r="AC171" s="7"/>
    </row>
    <row r="172" spans="1:29" ht="12.75">
      <c r="A172" s="1">
        <v>171</v>
      </c>
      <c r="C172" s="7">
        <f t="shared" si="46"/>
        <v>6189.8</v>
      </c>
      <c r="D172" s="8">
        <f t="shared" si="44"/>
        <v>604.2627600508966</v>
      </c>
      <c r="E172" s="7">
        <f t="shared" si="45"/>
        <v>-1.578891226388778</v>
      </c>
      <c r="F172" s="7"/>
      <c r="G172">
        <f aca="true" t="shared" si="48" ref="G172:G201">S172+(U172-S172)*(C172-R172)/(T172-R172)</f>
        <v>603.0012108866666</v>
      </c>
      <c r="H172" s="8">
        <f aca="true" t="shared" si="49" ref="H172:H201">D172-G172</f>
        <v>1.2615491642300185</v>
      </c>
      <c r="I172" s="30">
        <f>IF(H172&lt;1,(Data!$G$16+14+0.8*Data!$G$17+Data!$G$18*(1-H172))*(1-H172),(Data!$G$16+6+Data!$G$17*(H172-0.6))*(H172-0.6))</f>
        <v>12.335375814454041</v>
      </c>
      <c r="J172" s="28">
        <f t="shared" si="47"/>
        <v>71.73192699121972</v>
      </c>
      <c r="K172" t="str">
        <f aca="true" t="shared" si="50" ref="K172:K201">IF(H172&lt;0.5,"Cut","Fill")</f>
        <v>Fill</v>
      </c>
      <c r="L172" s="28">
        <f aca="true" t="shared" si="51" ref="L172:L201">IF(K172="Cut",J172,0)</f>
        <v>0</v>
      </c>
      <c r="M172" s="28">
        <f aca="true" t="shared" si="52" ref="M172:M201">IF(K172="Fill",J172,0)</f>
        <v>71.73192699121972</v>
      </c>
      <c r="N172" s="28">
        <f>SUM($L$3:L172)</f>
        <v>64611.49827927067</v>
      </c>
      <c r="O172" s="28">
        <f>SUM($M$3:M172)</f>
        <v>74517.41922038223</v>
      </c>
      <c r="Q172">
        <f>MATCH(C172,Ground!$A$3:$A$1999,1)</f>
        <v>73</v>
      </c>
      <c r="R172">
        <f ca="1">OFFSET(Ground!$A$2,Volume!Q172,0)</f>
        <v>6160</v>
      </c>
      <c r="S172">
        <f ca="1">OFFSET(Ground!$A$2,Volume!Q172,1)</f>
        <v>603.677207</v>
      </c>
      <c r="T172">
        <f ca="1">OFFSET(Ground!$A$2,Volume!Q172+1,0)</f>
        <v>6190</v>
      </c>
      <c r="U172">
        <f ca="1">OFFSET(Ground!$A$2,Volume!Q172+1,1)</f>
        <v>602.996674</v>
      </c>
      <c r="V172" s="26"/>
      <c r="W172">
        <f t="shared" si="35"/>
        <v>-12.284868644433454</v>
      </c>
      <c r="X172">
        <f>IF(Volume!W172&lt;'Temp Calcs'!$E$8,1,0)</f>
        <v>1</v>
      </c>
      <c r="Z172">
        <f t="shared" si="36"/>
        <v>9.689016844236209</v>
      </c>
      <c r="AA172">
        <f>IF(Volume!Z172&gt;'Temp Calcs'!$L$8,1,0)</f>
        <v>1</v>
      </c>
      <c r="AB172" s="8"/>
      <c r="AC172" s="7"/>
    </row>
    <row r="173" spans="1:29" ht="12.75">
      <c r="A173" s="1">
        <v>172</v>
      </c>
      <c r="C173" s="7">
        <f t="shared" si="46"/>
        <v>6195.8</v>
      </c>
      <c r="D173" s="8">
        <f t="shared" si="44"/>
        <v>604.1734583984517</v>
      </c>
      <c r="E173" s="7">
        <f t="shared" si="45"/>
        <v>-1.39783052177878</v>
      </c>
      <c r="F173" s="7"/>
      <c r="G173">
        <f t="shared" si="48"/>
        <v>602.9583802733333</v>
      </c>
      <c r="H173" s="8">
        <f t="shared" si="49"/>
        <v>1.215078125118339</v>
      </c>
      <c r="I173" s="30">
        <f>IF(H173&lt;1,(Data!$G$16+14+0.8*Data!$G$17+Data!$G$18*(1-H173))*(1-H173),(Data!$G$16+6+Data!$G$17*(H173-0.6))*(H173-0.6))</f>
        <v>11.354534401889788</v>
      </c>
      <c r="J173" s="28">
        <f t="shared" si="47"/>
        <v>71.06973064903148</v>
      </c>
      <c r="K173" t="str">
        <f t="shared" si="50"/>
        <v>Fill</v>
      </c>
      <c r="L173" s="28">
        <f t="shared" si="51"/>
        <v>0</v>
      </c>
      <c r="M173" s="28">
        <f t="shared" si="52"/>
        <v>71.06973064903148</v>
      </c>
      <c r="N173" s="28">
        <f>SUM($L$3:L173)</f>
        <v>64611.49827927067</v>
      </c>
      <c r="O173" s="28">
        <f>SUM($M$3:M173)</f>
        <v>74588.48895103126</v>
      </c>
      <c r="Q173">
        <f>MATCH(C173,Ground!$A$3:$A$1999,1)</f>
        <v>74</v>
      </c>
      <c r="R173">
        <f ca="1">OFFSET(Ground!$A$2,Volume!Q173,0)</f>
        <v>6190</v>
      </c>
      <c r="S173">
        <f ca="1">OFFSET(Ground!$A$2,Volume!Q173,1)</f>
        <v>602.996674</v>
      </c>
      <c r="T173">
        <f ca="1">OFFSET(Ground!$A$2,Volume!Q173+1,0)</f>
        <v>6220</v>
      </c>
      <c r="U173">
        <f ca="1">OFFSET(Ground!$A$2,Volume!Q173+1,1)</f>
        <v>602.798603</v>
      </c>
      <c r="V173" s="26"/>
      <c r="W173">
        <f t="shared" si="35"/>
        <v>-13.850353192045363</v>
      </c>
      <c r="X173">
        <f>IF(Volume!W173&lt;'Temp Calcs'!$E$8,1,0)</f>
        <v>1</v>
      </c>
      <c r="Z173">
        <f t="shared" si="36"/>
        <v>11.203367393278928</v>
      </c>
      <c r="AA173">
        <f>IF(Volume!Z173&gt;'Temp Calcs'!$L$8,1,0)</f>
        <v>1</v>
      </c>
      <c r="AB173" s="8"/>
      <c r="AC173" s="7"/>
    </row>
    <row r="174" spans="1:29" ht="12.75">
      <c r="A174" s="1">
        <v>173</v>
      </c>
      <c r="C174" s="7">
        <f t="shared" si="46"/>
        <v>6201.8</v>
      </c>
      <c r="D174" s="8">
        <f t="shared" si="44"/>
        <v>604.0950203882832</v>
      </c>
      <c r="E174" s="7">
        <f t="shared" si="45"/>
        <v>-1.216769817168783</v>
      </c>
      <c r="F174" s="7"/>
      <c r="G174">
        <f t="shared" si="48"/>
        <v>602.9187660733334</v>
      </c>
      <c r="H174" s="8">
        <f t="shared" si="49"/>
        <v>1.1762543149498015</v>
      </c>
      <c r="I174" s="30">
        <f>IF(H174&lt;1,(Data!$G$16+14+0.8*Data!$G$17+Data!$G$18*(1-H174))*(1-H174),(Data!$G$16+6+Data!$G$17*(H174-0.6))*(H174-0.6))</f>
        <v>10.548345181189886</v>
      </c>
      <c r="J174" s="28">
        <f t="shared" si="47"/>
        <v>65.70863874923901</v>
      </c>
      <c r="K174" t="str">
        <f t="shared" si="50"/>
        <v>Fill</v>
      </c>
      <c r="L174" s="28">
        <f t="shared" si="51"/>
        <v>0</v>
      </c>
      <c r="M174" s="28">
        <f t="shared" si="52"/>
        <v>65.70863874923901</v>
      </c>
      <c r="N174" s="28">
        <f>SUM($L$3:L174)</f>
        <v>64611.49827927067</v>
      </c>
      <c r="O174" s="28">
        <f>SUM($M$3:M174)</f>
        <v>74654.19758978051</v>
      </c>
      <c r="Q174">
        <f>MATCH(C174,Ground!$A$3:$A$1999,1)</f>
        <v>74</v>
      </c>
      <c r="R174">
        <f ca="1">OFFSET(Ground!$A$2,Volume!Q174,0)</f>
        <v>6190</v>
      </c>
      <c r="S174">
        <f ca="1">OFFSET(Ground!$A$2,Volume!Q174,1)</f>
        <v>602.996674</v>
      </c>
      <c r="T174">
        <f ca="1">OFFSET(Ground!$A$2,Volume!Q174+1,0)</f>
        <v>6220</v>
      </c>
      <c r="U174">
        <f ca="1">OFFSET(Ground!$A$2,Volume!Q174+1,1)</f>
        <v>602.798603</v>
      </c>
      <c r="V174" s="26"/>
      <c r="W174">
        <f t="shared" si="35"/>
        <v>-15.44100677539424</v>
      </c>
      <c r="X174">
        <f>IF(Volume!W174&lt;'Temp Calcs'!$E$8,1,0)</f>
        <v>1</v>
      </c>
      <c r="Z174">
        <f t="shared" si="36"/>
        <v>12.74741640899315</v>
      </c>
      <c r="AA174">
        <f>IF(Volume!Z174&gt;'Temp Calcs'!$L$8,1,0)</f>
        <v>1</v>
      </c>
      <c r="AB174" s="8"/>
      <c r="AC174" s="7"/>
    </row>
    <row r="175" spans="1:29" ht="12.75">
      <c r="A175" s="1">
        <v>174</v>
      </c>
      <c r="C175" s="7">
        <f t="shared" si="46"/>
        <v>6207.8</v>
      </c>
      <c r="D175" s="8">
        <f t="shared" si="44"/>
        <v>604.0274460203914</v>
      </c>
      <c r="E175" s="7">
        <f t="shared" si="45"/>
        <v>-1.0357091125587852</v>
      </c>
      <c r="F175" s="7"/>
      <c r="G175">
        <f t="shared" si="48"/>
        <v>602.8791518733333</v>
      </c>
      <c r="H175" s="8">
        <f t="shared" si="49"/>
        <v>1.1482941470580954</v>
      </c>
      <c r="I175" s="30">
        <f>IF(H175&lt;1,(Data!$G$16+14+0.8*Data!$G$17+Data!$G$18*(1-H175))*(1-H175),(Data!$G$16+6+Data!$G$17*(H175-0.6))*(H175-0.6))</f>
        <v>9.975212239722184</v>
      </c>
      <c r="J175" s="28">
        <f t="shared" si="47"/>
        <v>61.57067226273621</v>
      </c>
      <c r="K175" t="str">
        <f t="shared" si="50"/>
        <v>Fill</v>
      </c>
      <c r="L175" s="28">
        <f t="shared" si="51"/>
        <v>0</v>
      </c>
      <c r="M175" s="28">
        <f t="shared" si="52"/>
        <v>61.57067226273621</v>
      </c>
      <c r="N175" s="28">
        <f>SUM($L$3:L175)</f>
        <v>64611.49827927067</v>
      </c>
      <c r="O175" s="28">
        <f>SUM($M$3:M175)</f>
        <v>74715.76826204325</v>
      </c>
      <c r="Q175">
        <f>MATCH(C175,Ground!$A$3:$A$1999,1)</f>
        <v>74</v>
      </c>
      <c r="R175">
        <f ca="1">OFFSET(Ground!$A$2,Volume!Q175,0)</f>
        <v>6190</v>
      </c>
      <c r="S175">
        <f ca="1">OFFSET(Ground!$A$2,Volume!Q175,1)</f>
        <v>602.996674</v>
      </c>
      <c r="T175">
        <f ca="1">OFFSET(Ground!$A$2,Volume!Q175+1,0)</f>
        <v>6220</v>
      </c>
      <c r="U175">
        <f ca="1">OFFSET(Ground!$A$2,Volume!Q175+1,1)</f>
        <v>602.798603</v>
      </c>
      <c r="V175" s="26"/>
      <c r="W175">
        <f t="shared" si="35"/>
        <v>-17.046363568326733</v>
      </c>
      <c r="X175">
        <f>IF(Volume!W175&lt;'Temp Calcs'!$E$8,1,0)</f>
        <v>1</v>
      </c>
      <c r="Z175">
        <f t="shared" si="36"/>
        <v>14.311287183516987</v>
      </c>
      <c r="AA175">
        <f>IF(Volume!Z175&gt;'Temp Calcs'!$L$8,1,0)</f>
        <v>1</v>
      </c>
      <c r="AB175" s="8"/>
      <c r="AC175" s="7"/>
    </row>
    <row r="176" spans="1:29" ht="12.75">
      <c r="A176" s="1">
        <v>175</v>
      </c>
      <c r="C176" s="7">
        <f t="shared" si="46"/>
        <v>6213.8</v>
      </c>
      <c r="D176" s="8">
        <f t="shared" si="44"/>
        <v>603.9707352947762</v>
      </c>
      <c r="E176" s="7">
        <f t="shared" si="45"/>
        <v>-0.8546484079487877</v>
      </c>
      <c r="F176" s="7"/>
      <c r="G176">
        <f t="shared" si="48"/>
        <v>602.8395376733333</v>
      </c>
      <c r="H176" s="8">
        <f t="shared" si="49"/>
        <v>1.1311976214428796</v>
      </c>
      <c r="I176" s="30">
        <f>IF(H176&lt;1,(Data!$G$16+14+0.8*Data!$G$17+Data!$G$18*(1-H176))*(1-H176),(Data!$G$16+6+Data!$G$17*(H176-0.6))*(H176-0.6))</f>
        <v>9.627845595192365</v>
      </c>
      <c r="J176" s="28">
        <f t="shared" si="47"/>
        <v>58.809173504743654</v>
      </c>
      <c r="K176" t="str">
        <f t="shared" si="50"/>
        <v>Fill</v>
      </c>
      <c r="L176" s="28">
        <f t="shared" si="51"/>
        <v>0</v>
      </c>
      <c r="M176" s="28">
        <f t="shared" si="52"/>
        <v>58.809173504743654</v>
      </c>
      <c r="N176" s="28">
        <f>SUM($L$3:L176)</f>
        <v>64611.49827927067</v>
      </c>
      <c r="O176" s="28">
        <f>SUM($M$3:M176)</f>
        <v>74774.577435548</v>
      </c>
      <c r="Q176">
        <f>MATCH(C176,Ground!$A$3:$A$1999,1)</f>
        <v>74</v>
      </c>
      <c r="R176">
        <f ca="1">OFFSET(Ground!$A$2,Volume!Q176,0)</f>
        <v>6190</v>
      </c>
      <c r="S176">
        <f ca="1">OFFSET(Ground!$A$2,Volume!Q176,1)</f>
        <v>602.996674</v>
      </c>
      <c r="T176">
        <f ca="1">OFFSET(Ground!$A$2,Volume!Q176+1,0)</f>
        <v>6220</v>
      </c>
      <c r="U176">
        <f ca="1">OFFSET(Ground!$A$2,Volume!Q176+1,1)</f>
        <v>602.798603</v>
      </c>
      <c r="V176" s="26"/>
      <c r="W176">
        <f t="shared" si="35"/>
        <v>-18.65503072825757</v>
      </c>
      <c r="X176">
        <f>IF(Volume!W176&lt;'Temp Calcs'!$E$8,1,0)</f>
        <v>1</v>
      </c>
      <c r="Z176">
        <f t="shared" si="36"/>
        <v>15.884138678015079</v>
      </c>
      <c r="AA176">
        <f>IF(Volume!Z176&gt;'Temp Calcs'!$L$8,1,0)</f>
        <v>1</v>
      </c>
      <c r="AB176" s="8"/>
      <c r="AC176" s="7"/>
    </row>
    <row r="177" spans="1:29" ht="12.75">
      <c r="A177" s="1">
        <v>176</v>
      </c>
      <c r="C177" s="7">
        <f t="shared" si="46"/>
        <v>6219.8</v>
      </c>
      <c r="D177" s="8">
        <f t="shared" si="44"/>
        <v>603.9248882114374</v>
      </c>
      <c r="E177" s="7">
        <f t="shared" si="45"/>
        <v>-0.6735877033387903</v>
      </c>
      <c r="F177" s="7"/>
      <c r="G177">
        <f t="shared" si="48"/>
        <v>602.7999234733333</v>
      </c>
      <c r="H177" s="8">
        <f t="shared" si="49"/>
        <v>1.124964738104154</v>
      </c>
      <c r="I177" s="30">
        <f>IF(H177&lt;1,(Data!$G$16+14+0.8*Data!$G$17+Data!$G$18*(1-H177))*(1-H177),(Data!$G$16+6+Data!$G$17*(H177-0.6))*(H177-0.6))</f>
        <v>9.50178771467752</v>
      </c>
      <c r="J177" s="28">
        <f t="shared" si="47"/>
        <v>57.38889992960965</v>
      </c>
      <c r="K177" t="str">
        <f t="shared" si="50"/>
        <v>Fill</v>
      </c>
      <c r="L177" s="28">
        <f t="shared" si="51"/>
        <v>0</v>
      </c>
      <c r="M177" s="28">
        <f t="shared" si="52"/>
        <v>57.38889992960965</v>
      </c>
      <c r="N177" s="28">
        <f>SUM($L$3:L177)</f>
        <v>64611.49827927067</v>
      </c>
      <c r="O177" s="28">
        <f>SUM($M$3:M177)</f>
        <v>74831.9663354776</v>
      </c>
      <c r="Q177">
        <f>MATCH(C177,Ground!$A$3:$A$1999,1)</f>
        <v>74</v>
      </c>
      <c r="R177">
        <f ca="1">OFFSET(Ground!$A$2,Volume!Q177,0)</f>
        <v>6190</v>
      </c>
      <c r="S177">
        <f ca="1">OFFSET(Ground!$A$2,Volume!Q177,1)</f>
        <v>602.996674</v>
      </c>
      <c r="T177">
        <f ca="1">OFFSET(Ground!$A$2,Volume!Q177+1,0)</f>
        <v>6220</v>
      </c>
      <c r="U177">
        <f ca="1">OFFSET(Ground!$A$2,Volume!Q177+1,1)</f>
        <v>602.798603</v>
      </c>
      <c r="V177" s="26"/>
      <c r="W177">
        <f t="shared" si="35"/>
        <v>-20.25490414623563</v>
      </c>
      <c r="X177">
        <f>IF(Volume!W177&lt;'Temp Calcs'!$E$8,1,0)</f>
        <v>1</v>
      </c>
      <c r="Z177">
        <f t="shared" si="36"/>
        <v>17.454364340326798</v>
      </c>
      <c r="AA177">
        <f>IF(Volume!Z177&gt;'Temp Calcs'!$L$8,1,0)</f>
        <v>1</v>
      </c>
      <c r="AB177" s="8"/>
      <c r="AC177" s="7"/>
    </row>
    <row r="178" spans="1:29" ht="12.75">
      <c r="A178" s="1">
        <v>177</v>
      </c>
      <c r="C178" s="7">
        <f t="shared" si="46"/>
        <v>6225.8</v>
      </c>
      <c r="D178" s="8">
        <f t="shared" si="44"/>
        <v>603.8899047703754</v>
      </c>
      <c r="E178" s="7">
        <f t="shared" si="45"/>
        <v>-0.4925269987287928</v>
      </c>
      <c r="F178" s="7"/>
      <c r="G178">
        <f t="shared" si="48"/>
        <v>602.8453571866667</v>
      </c>
      <c r="H178" s="8">
        <f t="shared" si="49"/>
        <v>1.044547583708777</v>
      </c>
      <c r="I178" s="30">
        <f>IF(H178&lt;1,(Data!$G$16+14+0.8*Data!$G$17+Data!$G$18*(1-H178))*(1-H178),(Data!$G$16+6+Data!$G$17*(H178-0.6))*(H178-0.6))</f>
        <v>7.903251556065681</v>
      </c>
      <c r="J178" s="28">
        <f t="shared" si="47"/>
        <v>52.21511781222959</v>
      </c>
      <c r="K178" t="str">
        <f t="shared" si="50"/>
        <v>Fill</v>
      </c>
      <c r="L178" s="28">
        <f t="shared" si="51"/>
        <v>0</v>
      </c>
      <c r="M178" s="28">
        <f t="shared" si="52"/>
        <v>52.21511781222959</v>
      </c>
      <c r="N178" s="28">
        <f>SUM($L$3:L178)</f>
        <v>64611.49827927067</v>
      </c>
      <c r="O178" s="28">
        <f>SUM($M$3:M178)</f>
        <v>74884.18145328983</v>
      </c>
      <c r="Q178">
        <f>MATCH(C178,Ground!$A$3:$A$1999,1)</f>
        <v>75</v>
      </c>
      <c r="R178">
        <f ca="1">OFFSET(Ground!$A$2,Volume!Q178,0)</f>
        <v>6220</v>
      </c>
      <c r="S178">
        <f ca="1">OFFSET(Ground!$A$2,Volume!Q178,1)</f>
        <v>602.798603</v>
      </c>
      <c r="T178">
        <f ca="1">OFFSET(Ground!$A$2,Volume!Q178+1,0)</f>
        <v>6250</v>
      </c>
      <c r="U178">
        <f ca="1">OFFSET(Ground!$A$2,Volume!Q178+1,1)</f>
        <v>603.040435</v>
      </c>
      <c r="V178" s="26"/>
      <c r="W178">
        <f t="shared" si="35"/>
        <v>-21.83343039750102</v>
      </c>
      <c r="X178">
        <f>IF(Volume!W178&lt;'Temp Calcs'!$E$8,1,0)</f>
        <v>1</v>
      </c>
      <c r="Z178">
        <f t="shared" si="36"/>
        <v>19.00983771757848</v>
      </c>
      <c r="AA178">
        <f>IF(Volume!Z178&gt;'Temp Calcs'!$L$8,1,0)</f>
        <v>1</v>
      </c>
      <c r="AB178" s="8"/>
      <c r="AC178" s="7"/>
    </row>
    <row r="179" spans="1:29" ht="12.75">
      <c r="A179" s="1">
        <v>178</v>
      </c>
      <c r="C179" s="7">
        <f t="shared" si="46"/>
        <v>6231.8</v>
      </c>
      <c r="D179" s="8">
        <f t="shared" si="44"/>
        <v>603.86578497159</v>
      </c>
      <c r="E179" s="7">
        <f t="shared" si="45"/>
        <v>-0.31146629411879534</v>
      </c>
      <c r="F179" s="7"/>
      <c r="G179">
        <f t="shared" si="48"/>
        <v>602.8937235866666</v>
      </c>
      <c r="H179" s="8">
        <f t="shared" si="49"/>
        <v>0.9720613849233359</v>
      </c>
      <c r="I179" s="30">
        <f>IF(H179&lt;1,(Data!$G$16+14+0.8*Data!$G$17+Data!$G$18*(1-H179))*(1-H179),(Data!$G$16+6+Data!$G$17*(H179-0.6))*(H179-0.6))</f>
        <v>0.7614914625100665</v>
      </c>
      <c r="J179" s="28">
        <f t="shared" si="47"/>
        <v>25.99422905572724</v>
      </c>
      <c r="K179" t="str">
        <f t="shared" si="50"/>
        <v>Fill</v>
      </c>
      <c r="L179" s="28">
        <f t="shared" si="51"/>
        <v>0</v>
      </c>
      <c r="M179" s="28">
        <f t="shared" si="52"/>
        <v>25.99422905572724</v>
      </c>
      <c r="N179" s="28">
        <f>SUM($L$3:L179)</f>
        <v>64611.49827927067</v>
      </c>
      <c r="O179" s="28">
        <f>SUM($M$3:M179)</f>
        <v>74910.17568234555</v>
      </c>
      <c r="Q179">
        <f>MATCH(C179,Ground!$A$3:$A$1999,1)</f>
        <v>75</v>
      </c>
      <c r="R179">
        <f ca="1">OFFSET(Ground!$A$2,Volume!Q179,0)</f>
        <v>6220</v>
      </c>
      <c r="S179">
        <f ca="1">OFFSET(Ground!$A$2,Volume!Q179,1)</f>
        <v>602.798603</v>
      </c>
      <c r="T179">
        <f ca="1">OFFSET(Ground!$A$2,Volume!Q179+1,0)</f>
        <v>6250</v>
      </c>
      <c r="U179">
        <f ca="1">OFFSET(Ground!$A$2,Volume!Q179+1,1)</f>
        <v>603.040435</v>
      </c>
      <c r="V179" s="26"/>
      <c r="W179">
        <f t="shared" si="35"/>
        <v>-23.3779050908096</v>
      </c>
      <c r="X179">
        <f>IF(Volume!W179&lt;'Temp Calcs'!$E$8,1,0)</f>
        <v>1</v>
      </c>
      <c r="Z179">
        <f t="shared" si="36"/>
        <v>20.538195999912595</v>
      </c>
      <c r="AA179">
        <f>IF(Volume!Z179&gt;'Temp Calcs'!$L$8,1,0)</f>
        <v>1</v>
      </c>
      <c r="AB179" s="8"/>
      <c r="AC179" s="7"/>
    </row>
    <row r="180" spans="1:29" ht="12.75">
      <c r="A180" s="1">
        <v>179</v>
      </c>
      <c r="C180" s="7">
        <f t="shared" si="46"/>
        <v>6237.8</v>
      </c>
      <c r="D180" s="8">
        <f t="shared" si="44"/>
        <v>603.8525288150812</v>
      </c>
      <c r="E180" s="7">
        <f t="shared" si="45"/>
        <v>-0.13040558950879788</v>
      </c>
      <c r="F180" s="7"/>
      <c r="G180">
        <f t="shared" si="48"/>
        <v>602.9420899866667</v>
      </c>
      <c r="H180" s="8">
        <f t="shared" si="49"/>
        <v>0.9104388284144989</v>
      </c>
      <c r="I180" s="30">
        <f>IF(H180&lt;1,(Data!$G$16+14+0.8*Data!$G$17+Data!$G$18*(1-H180))*(1-H180),(Data!$G$16+6+Data!$G$17*(H180-0.6))*(H180-0.6))</f>
        <v>2.452106274037166</v>
      </c>
      <c r="J180" s="28">
        <f t="shared" si="47"/>
        <v>9.640793209641698</v>
      </c>
      <c r="K180" t="str">
        <f t="shared" si="50"/>
        <v>Fill</v>
      </c>
      <c r="L180" s="28">
        <f t="shared" si="51"/>
        <v>0</v>
      </c>
      <c r="M180" s="28">
        <f t="shared" si="52"/>
        <v>9.640793209641698</v>
      </c>
      <c r="N180" s="28">
        <f>SUM($L$3:L180)</f>
        <v>64611.49827927067</v>
      </c>
      <c r="O180" s="28">
        <f>SUM($M$3:M180)</f>
        <v>74919.8164755552</v>
      </c>
      <c r="Q180">
        <f>MATCH(C180,Ground!$A$3:$A$1999,1)</f>
        <v>75</v>
      </c>
      <c r="R180">
        <f ca="1">OFFSET(Ground!$A$2,Volume!Q180,0)</f>
        <v>6220</v>
      </c>
      <c r="S180">
        <f ca="1">OFFSET(Ground!$A$2,Volume!Q180,1)</f>
        <v>602.798603</v>
      </c>
      <c r="T180">
        <f ca="1">OFFSET(Ground!$A$2,Volume!Q180+1,0)</f>
        <v>6250</v>
      </c>
      <c r="U180">
        <f ca="1">OFFSET(Ground!$A$2,Volume!Q180+1,1)</f>
        <v>603.040435</v>
      </c>
      <c r="V180" s="26"/>
      <c r="W180">
        <f t="shared" si="35"/>
        <v>-24.875794231921404</v>
      </c>
      <c r="X180">
        <f>IF(Volume!W180&lt;'Temp Calcs'!$E$8,1,0)</f>
        <v>1</v>
      </c>
      <c r="Z180">
        <f t="shared" si="36"/>
        <v>22.027149029296563</v>
      </c>
      <c r="AA180">
        <f>IF(Volume!Z180&gt;'Temp Calcs'!$L$8,1,0)</f>
        <v>1</v>
      </c>
      <c r="AB180" s="8"/>
      <c r="AC180" s="7"/>
    </row>
    <row r="181" spans="1:29" ht="12.75">
      <c r="A181" s="1">
        <v>180</v>
      </c>
      <c r="C181" s="7">
        <f t="shared" si="46"/>
        <v>6243.8</v>
      </c>
      <c r="D181" s="8">
        <f t="shared" si="44"/>
        <v>603.8501363008489</v>
      </c>
      <c r="E181" s="7">
        <f t="shared" si="45"/>
        <v>0.050655115101200465</v>
      </c>
      <c r="F181" s="7"/>
      <c r="G181">
        <f t="shared" si="48"/>
        <v>602.9904563866667</v>
      </c>
      <c r="H181" s="8">
        <f t="shared" si="49"/>
        <v>0.8596799141822657</v>
      </c>
      <c r="I181" s="30">
        <f>IF(H181&lt;1,(Data!$G$16+14+0.8*Data!$G$17+Data!$G$18*(1-H181))*(1-H181),(Data!$G$16+6+Data!$G$17*(H181-0.6))*(H181-0.6))</f>
        <v>3.8560857872101644</v>
      </c>
      <c r="J181" s="28">
        <f t="shared" si="47"/>
        <v>18.92457618374199</v>
      </c>
      <c r="K181" t="str">
        <f t="shared" si="50"/>
        <v>Fill</v>
      </c>
      <c r="L181" s="28">
        <f t="shared" si="51"/>
        <v>0</v>
      </c>
      <c r="M181" s="28">
        <f t="shared" si="52"/>
        <v>18.92457618374199</v>
      </c>
      <c r="N181" s="28">
        <f>SUM($L$3:L181)</f>
        <v>64611.49827927067</v>
      </c>
      <c r="O181" s="28">
        <f>SUM($M$3:M181)</f>
        <v>74938.74105173894</v>
      </c>
      <c r="Q181">
        <f>MATCH(C181,Ground!$A$3:$A$1999,1)</f>
        <v>75</v>
      </c>
      <c r="R181">
        <f ca="1">OFFSET(Ground!$A$2,Volume!Q181,0)</f>
        <v>6220</v>
      </c>
      <c r="S181">
        <f ca="1">OFFSET(Ground!$A$2,Volume!Q181,1)</f>
        <v>602.798603</v>
      </c>
      <c r="T181">
        <f ca="1">OFFSET(Ground!$A$2,Volume!Q181+1,0)</f>
        <v>6250</v>
      </c>
      <c r="U181">
        <f ca="1">OFFSET(Ground!$A$2,Volume!Q181+1,1)</f>
        <v>603.040435</v>
      </c>
      <c r="V181" s="26"/>
      <c r="W181">
        <f t="shared" si="35"/>
        <v>-26.315062526042194</v>
      </c>
      <c r="X181">
        <f>IF(Volume!W181&lt;'Temp Calcs'!$E$8,1,0)</f>
        <v>1</v>
      </c>
      <c r="Z181">
        <f t="shared" si="36"/>
        <v>23.464798510223922</v>
      </c>
      <c r="AA181">
        <f>IF(Volume!Z181&gt;'Temp Calcs'!$L$8,1,0)</f>
        <v>1</v>
      </c>
      <c r="AB181" s="8"/>
      <c r="AC181" s="7"/>
    </row>
    <row r="182" spans="1:29" ht="12.75">
      <c r="A182" s="1">
        <v>181</v>
      </c>
      <c r="C182" s="7">
        <f t="shared" si="46"/>
        <v>6249.8</v>
      </c>
      <c r="D182" s="8">
        <f t="shared" si="44"/>
        <v>603.8586074288934</v>
      </c>
      <c r="E182" s="7">
        <f t="shared" si="45"/>
        <v>0.23171581971119704</v>
      </c>
      <c r="F182" s="7"/>
      <c r="G182">
        <f t="shared" si="48"/>
        <v>603.0388227866666</v>
      </c>
      <c r="H182" s="8">
        <f t="shared" si="49"/>
        <v>0.8197846422267503</v>
      </c>
      <c r="I182" s="30">
        <f>IF(H182&lt;1,(Data!$G$16+14+0.8*Data!$G$17+Data!$G$18*(1-H182))*(1-H182),(Data!$G$16+6+Data!$G$17*(H182-0.6))*(H182-0.6))</f>
        <v>4.966812881787073</v>
      </c>
      <c r="J182" s="28">
        <f t="shared" si="47"/>
        <v>26.46869600699171</v>
      </c>
      <c r="K182" t="str">
        <f t="shared" si="50"/>
        <v>Fill</v>
      </c>
      <c r="L182" s="28">
        <f t="shared" si="51"/>
        <v>0</v>
      </c>
      <c r="M182" s="28">
        <f t="shared" si="52"/>
        <v>26.46869600699171</v>
      </c>
      <c r="N182" s="28">
        <f>SUM($L$3:L182)</f>
        <v>64611.49827927067</v>
      </c>
      <c r="O182" s="28">
        <f>SUM($M$3:M182)</f>
        <v>74965.20974774593</v>
      </c>
      <c r="Q182">
        <f>MATCH(C182,Ground!$A$3:$A$1999,1)</f>
        <v>75</v>
      </c>
      <c r="R182">
        <f ca="1">OFFSET(Ground!$A$2,Volume!Q182,0)</f>
        <v>6220</v>
      </c>
      <c r="S182">
        <f ca="1">OFFSET(Ground!$A$2,Volume!Q182,1)</f>
        <v>602.798603</v>
      </c>
      <c r="T182">
        <f ca="1">OFFSET(Ground!$A$2,Volume!Q182+1,0)</f>
        <v>6250</v>
      </c>
      <c r="U182">
        <f ca="1">OFFSET(Ground!$A$2,Volume!Q182+1,1)</f>
        <v>603.040435</v>
      </c>
      <c r="V182" s="26"/>
      <c r="W182">
        <f t="shared" si="35"/>
        <v>-27.684491142764575</v>
      </c>
      <c r="X182">
        <f>IF(Volume!W182&lt;'Temp Calcs'!$E$8,1,0)</f>
        <v>1</v>
      </c>
      <c r="Z182">
        <f t="shared" si="36"/>
        <v>24.839950568116276</v>
      </c>
      <c r="AA182">
        <f>IF(Volume!Z182&gt;'Temp Calcs'!$L$8,1,0)</f>
        <v>1</v>
      </c>
      <c r="AB182" s="8"/>
      <c r="AC182" s="7"/>
    </row>
    <row r="183" spans="1:29" ht="12.75">
      <c r="A183" s="1">
        <v>182</v>
      </c>
      <c r="C183" s="7">
        <f t="shared" si="46"/>
        <v>6255.8</v>
      </c>
      <c r="D183" s="8">
        <f t="shared" si="44"/>
        <v>603.8779421992143</v>
      </c>
      <c r="E183" s="7">
        <f t="shared" si="45"/>
        <v>0.4127765243211954</v>
      </c>
      <c r="F183" s="7"/>
      <c r="G183">
        <f t="shared" si="48"/>
        <v>603.1576580266667</v>
      </c>
      <c r="H183" s="8">
        <f t="shared" si="49"/>
        <v>0.7202841725476219</v>
      </c>
      <c r="I183" s="30">
        <f>IF(H183&lt;1,(Data!$G$16+14+0.8*Data!$G$17+Data!$G$18*(1-H183))*(1-H183),(Data!$G$16+6+Data!$G$17*(H183-0.6))*(H183-0.6))</f>
        <v>7.764752394959421</v>
      </c>
      <c r="J183" s="28">
        <f t="shared" si="47"/>
        <v>38.19469583023948</v>
      </c>
      <c r="K183" t="str">
        <f t="shared" si="50"/>
        <v>Fill</v>
      </c>
      <c r="L183" s="28">
        <f t="shared" si="51"/>
        <v>0</v>
      </c>
      <c r="M183" s="28">
        <f t="shared" si="52"/>
        <v>38.19469583023948</v>
      </c>
      <c r="N183" s="28">
        <f>SUM($L$3:L183)</f>
        <v>64611.49827927067</v>
      </c>
      <c r="O183" s="28">
        <f>SUM($M$3:M183)</f>
        <v>75003.40444357618</v>
      </c>
      <c r="Q183">
        <f>MATCH(C183,Ground!$A$3:$A$1999,1)</f>
        <v>76</v>
      </c>
      <c r="R183">
        <f ca="1">OFFSET(Ground!$A$2,Volume!Q183,0)</f>
        <v>6250</v>
      </c>
      <c r="S183">
        <f ca="1">OFFSET(Ground!$A$2,Volume!Q183,1)</f>
        <v>603.040435</v>
      </c>
      <c r="T183">
        <f ca="1">OFFSET(Ground!$A$2,Volume!Q183+1,0)</f>
        <v>6280</v>
      </c>
      <c r="U183">
        <f ca="1">OFFSET(Ground!$A$2,Volume!Q183+1,1)</f>
        <v>603.646761</v>
      </c>
      <c r="V183" s="26"/>
      <c r="W183">
        <f t="shared" si="35"/>
        <v>-28.973967606911657</v>
      </c>
      <c r="X183">
        <f>IF(Volume!W183&lt;'Temp Calcs'!$E$8,1,0)</f>
        <v>1</v>
      </c>
      <c r="Z183">
        <f t="shared" si="36"/>
        <v>26.14240468417414</v>
      </c>
      <c r="AA183">
        <f>IF(Volume!Z183&gt;'Temp Calcs'!$L$8,1,0)</f>
        <v>1</v>
      </c>
      <c r="AB183" s="8"/>
      <c r="AC183" s="7"/>
    </row>
    <row r="184" spans="1:29" ht="12.75">
      <c r="A184" s="1">
        <v>183</v>
      </c>
      <c r="C184" s="7">
        <f t="shared" si="46"/>
        <v>6261.8</v>
      </c>
      <c r="D184" s="8">
        <f t="shared" si="44"/>
        <v>603.9081406118119</v>
      </c>
      <c r="E184" s="7">
        <f t="shared" si="45"/>
        <v>0.5938372289311928</v>
      </c>
      <c r="F184" s="7"/>
      <c r="G184">
        <f t="shared" si="48"/>
        <v>603.2789232266666</v>
      </c>
      <c r="H184" s="8">
        <f t="shared" si="49"/>
        <v>0.629217385145239</v>
      </c>
      <c r="I184" s="30">
        <f>IF(H184&lt;1,(Data!$G$16+14+0.8*Data!$G$17+Data!$G$18*(1-H184))*(1-H184),(Data!$G$16+6+Data!$G$17*(H184-0.6))*(H184-0.6))</f>
        <v>10.360246619006569</v>
      </c>
      <c r="J184" s="28">
        <f t="shared" si="47"/>
        <v>54.37499704189797</v>
      </c>
      <c r="K184" t="str">
        <f t="shared" si="50"/>
        <v>Fill</v>
      </c>
      <c r="L184" s="28">
        <f t="shared" si="51"/>
        <v>0</v>
      </c>
      <c r="M184" s="28">
        <f t="shared" si="52"/>
        <v>54.37499704189797</v>
      </c>
      <c r="N184" s="28">
        <f>SUM($L$3:L184)</f>
        <v>64611.49827927067</v>
      </c>
      <c r="O184" s="28">
        <f>SUM($M$3:M184)</f>
        <v>75057.77944061808</v>
      </c>
      <c r="Q184">
        <f>MATCH(C184,Ground!$A$3:$A$1999,1)</f>
        <v>76</v>
      </c>
      <c r="R184">
        <f ca="1">OFFSET(Ground!$A$2,Volume!Q184,0)</f>
        <v>6250</v>
      </c>
      <c r="S184">
        <f ca="1">OFFSET(Ground!$A$2,Volume!Q184,1)</f>
        <v>603.040435</v>
      </c>
      <c r="T184">
        <f ca="1">OFFSET(Ground!$A$2,Volume!Q184+1,0)</f>
        <v>6280</v>
      </c>
      <c r="U184">
        <f ca="1">OFFSET(Ground!$A$2,Volume!Q184+1,1)</f>
        <v>603.646761</v>
      </c>
      <c r="V184" s="26"/>
      <c r="W184">
        <f t="shared" si="35"/>
        <v>-30.174732210925725</v>
      </c>
      <c r="X184">
        <f>IF(Volume!W184&lt;'Temp Calcs'!$E$8,1,0)</f>
        <v>1</v>
      </c>
      <c r="Z184">
        <f t="shared" si="36"/>
        <v>27.363203470098732</v>
      </c>
      <c r="AA184">
        <f>IF(Volume!Z184&gt;'Temp Calcs'!$L$8,1,0)</f>
        <v>1</v>
      </c>
      <c r="AB184" s="8"/>
      <c r="AC184" s="7"/>
    </row>
    <row r="185" spans="1:29" ht="12.75">
      <c r="A185" s="1">
        <v>184</v>
      </c>
      <c r="C185" s="7">
        <f t="shared" si="46"/>
        <v>6267.8</v>
      </c>
      <c r="D185" s="8">
        <f t="shared" si="44"/>
        <v>603.9492026666861</v>
      </c>
      <c r="E185" s="7">
        <f t="shared" si="45"/>
        <v>0.7748979335411894</v>
      </c>
      <c r="F185" s="7"/>
      <c r="G185">
        <f t="shared" si="48"/>
        <v>603.4001884266667</v>
      </c>
      <c r="H185" s="8">
        <f t="shared" si="49"/>
        <v>0.54901424001946</v>
      </c>
      <c r="I185" s="30">
        <f>IF(H185&lt;1,(Data!$G$16+14+0.8*Data!$G$17+Data!$G$18*(1-H185))*(1-H185),(Data!$G$16+6+Data!$G$17*(H185-0.6))*(H185-0.6))</f>
        <v>12.673588982881139</v>
      </c>
      <c r="J185" s="28">
        <f t="shared" si="47"/>
        <v>69.10150680566312</v>
      </c>
      <c r="K185" t="str">
        <f t="shared" si="50"/>
        <v>Fill</v>
      </c>
      <c r="L185" s="28">
        <f t="shared" si="51"/>
        <v>0</v>
      </c>
      <c r="M185" s="28">
        <f t="shared" si="52"/>
        <v>69.10150680566312</v>
      </c>
      <c r="N185" s="28">
        <f>SUM($L$3:L185)</f>
        <v>64611.49827927067</v>
      </c>
      <c r="O185" s="28">
        <f>SUM($M$3:M185)</f>
        <v>75126.88094742374</v>
      </c>
      <c r="Q185">
        <f>MATCH(C185,Ground!$A$3:$A$1999,1)</f>
        <v>76</v>
      </c>
      <c r="R185">
        <f ca="1">OFFSET(Ground!$A$2,Volume!Q185,0)</f>
        <v>6250</v>
      </c>
      <c r="S185">
        <f ca="1">OFFSET(Ground!$A$2,Volume!Q185,1)</f>
        <v>603.040435</v>
      </c>
      <c r="T185">
        <f ca="1">OFFSET(Ground!$A$2,Volume!Q185+1,0)</f>
        <v>6280</v>
      </c>
      <c r="U185">
        <f ca="1">OFFSET(Ground!$A$2,Volume!Q185+1,1)</f>
        <v>603.646761</v>
      </c>
      <c r="V185" s="26"/>
      <c r="W185">
        <f t="shared" si="35"/>
        <v>-31.27956850162638</v>
      </c>
      <c r="X185">
        <f>IF(Volume!W185&lt;'Temp Calcs'!$E$8,1,0)</f>
        <v>1</v>
      </c>
      <c r="Z185">
        <f t="shared" si="36"/>
        <v>28.49483059807629</v>
      </c>
      <c r="AA185">
        <f>IF(Volume!Z185&gt;'Temp Calcs'!$L$8,1,0)</f>
        <v>1</v>
      </c>
      <c r="AB185" s="8"/>
      <c r="AC185" s="7"/>
    </row>
    <row r="186" spans="1:29" ht="12.75">
      <c r="A186" s="1">
        <v>185</v>
      </c>
      <c r="C186" s="7">
        <f t="shared" si="46"/>
        <v>6273.8</v>
      </c>
      <c r="D186" s="8">
        <f t="shared" si="44"/>
        <v>604.0011283638369</v>
      </c>
      <c r="E186" s="7">
        <f t="shared" si="45"/>
        <v>0.9559586381511878</v>
      </c>
      <c r="F186" s="7"/>
      <c r="G186">
        <f t="shared" si="48"/>
        <v>603.5214536266667</v>
      </c>
      <c r="H186" s="8">
        <f t="shared" si="49"/>
        <v>0.4796747371701713</v>
      </c>
      <c r="I186" s="30">
        <f>IF(H186&lt;1,(Data!$G$16+14+0.8*Data!$G$17+Data!$G$18*(1-H186))*(1-H186),(Data!$G$16+6+Data!$G$17*(H186-0.6))*(H186-0.6))</f>
        <v>14.694323907249201</v>
      </c>
      <c r="J186" s="28">
        <f t="shared" si="47"/>
        <v>82.10373867039102</v>
      </c>
      <c r="K186" t="str">
        <f t="shared" si="50"/>
        <v>Cut</v>
      </c>
      <c r="L186" s="28">
        <f t="shared" si="51"/>
        <v>82.10373867039102</v>
      </c>
      <c r="M186" s="28">
        <f t="shared" si="52"/>
        <v>0</v>
      </c>
      <c r="N186" s="28">
        <f>SUM($L$3:L186)</f>
        <v>64693.60201794106</v>
      </c>
      <c r="O186" s="28">
        <f>SUM($M$3:M186)</f>
        <v>75126.88094742374</v>
      </c>
      <c r="Q186">
        <f>MATCH(C186,Ground!$A$3:$A$1999,1)</f>
        <v>76</v>
      </c>
      <c r="R186">
        <f ca="1">OFFSET(Ground!$A$2,Volume!Q186,0)</f>
        <v>6250</v>
      </c>
      <c r="S186">
        <f ca="1">OFFSET(Ground!$A$2,Volume!Q186,1)</f>
        <v>603.040435</v>
      </c>
      <c r="T186">
        <f ca="1">OFFSET(Ground!$A$2,Volume!Q186+1,0)</f>
        <v>6280</v>
      </c>
      <c r="U186">
        <f ca="1">OFFSET(Ground!$A$2,Volume!Q186+1,1)</f>
        <v>603.646761</v>
      </c>
      <c r="V186" s="26"/>
      <c r="W186">
        <f t="shared" si="35"/>
        <v>-32.28292961231119</v>
      </c>
      <c r="X186">
        <f>IF(Volume!W186&lt;'Temp Calcs'!$E$8,1,0)</f>
        <v>1</v>
      </c>
      <c r="Z186">
        <f t="shared" si="36"/>
        <v>29.53134814098699</v>
      </c>
      <c r="AA186">
        <f>IF(Volume!Z186&gt;'Temp Calcs'!$L$8,1,0)</f>
        <v>1</v>
      </c>
      <c r="AB186" s="8"/>
      <c r="AC186" s="7"/>
    </row>
    <row r="187" spans="1:29" ht="12.75">
      <c r="A187" s="1">
        <v>186</v>
      </c>
      <c r="C187" s="7">
        <f t="shared" si="46"/>
        <v>6279.8</v>
      </c>
      <c r="D187" s="8">
        <f t="shared" si="44"/>
        <v>604.0639177032641</v>
      </c>
      <c r="E187" s="7">
        <f t="shared" si="45"/>
        <v>1.1370193427611843</v>
      </c>
      <c r="F187" s="7"/>
      <c r="G187">
        <f t="shared" si="48"/>
        <v>603.6427188266666</v>
      </c>
      <c r="H187" s="8">
        <f t="shared" si="49"/>
        <v>0.42119887659748656</v>
      </c>
      <c r="I187" s="30">
        <f>IF(H187&lt;1,(Data!$G$16+14+0.8*Data!$G$17+Data!$G$18*(1-H187))*(1-H187),(Data!$G$16+6+Data!$G$17*(H187-0.6))*(H187-0.6))</f>
        <v>16.41341203745239</v>
      </c>
      <c r="J187" s="28">
        <f t="shared" si="47"/>
        <v>93.32320783410476</v>
      </c>
      <c r="K187" t="str">
        <f t="shared" si="50"/>
        <v>Cut</v>
      </c>
      <c r="L187" s="28">
        <f t="shared" si="51"/>
        <v>93.32320783410476</v>
      </c>
      <c r="M187" s="28">
        <f t="shared" si="52"/>
        <v>0</v>
      </c>
      <c r="N187" s="28">
        <f>SUM($L$3:L187)</f>
        <v>64786.925225775165</v>
      </c>
      <c r="O187" s="28">
        <f>SUM($M$3:M187)</f>
        <v>75126.88094742374</v>
      </c>
      <c r="Q187">
        <f>MATCH(C187,Ground!$A$3:$A$1999,1)</f>
        <v>76</v>
      </c>
      <c r="R187">
        <f ca="1">OFFSET(Ground!$A$2,Volume!Q187,0)</f>
        <v>6250</v>
      </c>
      <c r="S187">
        <f ca="1">OFFSET(Ground!$A$2,Volume!Q187,1)</f>
        <v>603.040435</v>
      </c>
      <c r="T187">
        <f ca="1">OFFSET(Ground!$A$2,Volume!Q187+1,0)</f>
        <v>6280</v>
      </c>
      <c r="U187">
        <f ca="1">OFFSET(Ground!$A$2,Volume!Q187+1,1)</f>
        <v>603.646761</v>
      </c>
      <c r="V187" s="26"/>
      <c r="W187">
        <f t="shared" si="35"/>
        <v>-33.180996990900866</v>
      </c>
      <c r="X187">
        <f>IF(Volume!W187&lt;'Temp Calcs'!$E$8,1,0)</f>
        <v>1</v>
      </c>
      <c r="Z187">
        <f t="shared" si="36"/>
        <v>30.468469135523726</v>
      </c>
      <c r="AA187">
        <f>IF(Volume!Z187&gt;'Temp Calcs'!$L$8,1,0)</f>
        <v>1</v>
      </c>
      <c r="AB187" s="8"/>
      <c r="AC187" s="7"/>
    </row>
    <row r="188" spans="1:29" ht="12.75">
      <c r="A188" s="1">
        <v>187</v>
      </c>
      <c r="C188" s="7">
        <f t="shared" si="46"/>
        <v>6285.8</v>
      </c>
      <c r="D188" s="8">
        <f t="shared" si="44"/>
        <v>604.1375706849682</v>
      </c>
      <c r="E188" s="7">
        <f t="shared" si="45"/>
        <v>1.3180800473711827</v>
      </c>
      <c r="F188" s="7"/>
      <c r="G188">
        <f t="shared" si="48"/>
        <v>603.8158412466667</v>
      </c>
      <c r="H188" s="8">
        <f t="shared" si="49"/>
        <v>0.32172943830153145</v>
      </c>
      <c r="I188" s="30">
        <f>IF(H188&lt;1,(Data!$G$16+14+0.8*Data!$G$17+Data!$G$18*(1-H188))*(1-H188),(Data!$G$16+6+Data!$G$17*(H188-0.6))*(H188-0.6))</f>
        <v>19.369061187931855</v>
      </c>
      <c r="J188" s="28">
        <f t="shared" si="47"/>
        <v>107.34741967615273</v>
      </c>
      <c r="K188" t="str">
        <f t="shared" si="50"/>
        <v>Cut</v>
      </c>
      <c r="L188" s="28">
        <f t="shared" si="51"/>
        <v>107.34741967615273</v>
      </c>
      <c r="M188" s="28">
        <f t="shared" si="52"/>
        <v>0</v>
      </c>
      <c r="N188" s="28">
        <f>SUM($L$3:L188)</f>
        <v>64894.27264545132</v>
      </c>
      <c r="O188" s="28">
        <f>SUM($M$3:M188)</f>
        <v>75126.88094742374</v>
      </c>
      <c r="Q188">
        <f>MATCH(C188,Ground!$A$3:$A$1999,1)</f>
        <v>77</v>
      </c>
      <c r="R188">
        <f ca="1">OFFSET(Ground!$A$2,Volume!Q188,0)</f>
        <v>6280</v>
      </c>
      <c r="S188">
        <f ca="1">OFFSET(Ground!$A$2,Volume!Q188,1)</f>
        <v>603.646761</v>
      </c>
      <c r="T188">
        <f ca="1">OFFSET(Ground!$A$2,Volume!Q188+1,0)</f>
        <v>6310</v>
      </c>
      <c r="U188">
        <f ca="1">OFFSET(Ground!$A$2,Volume!Q188+1,1)</f>
        <v>604.521314</v>
      </c>
      <c r="V188" s="26"/>
      <c r="W188">
        <f t="shared" si="35"/>
        <v>-33.971672865677355</v>
      </c>
      <c r="X188">
        <f>IF(Volume!W188&lt;'Temp Calcs'!$E$8,1,0)</f>
        <v>1</v>
      </c>
      <c r="Z188">
        <f t="shared" si="36"/>
        <v>31.30356582733631</v>
      </c>
      <c r="AA188">
        <f>IF(Volume!Z188&gt;'Temp Calcs'!$L$8,1,0)</f>
        <v>1</v>
      </c>
      <c r="AB188" s="8"/>
      <c r="AC188" s="7"/>
    </row>
    <row r="189" spans="1:29" ht="12.75">
      <c r="A189" s="1">
        <v>188</v>
      </c>
      <c r="C189" s="7">
        <f t="shared" si="46"/>
        <v>6291.8</v>
      </c>
      <c r="D189" s="8">
        <f t="shared" si="44"/>
        <v>604.2220873089487</v>
      </c>
      <c r="E189" s="7">
        <f t="shared" si="45"/>
        <v>1.4991407519811801</v>
      </c>
      <c r="F189" s="7"/>
      <c r="G189">
        <f t="shared" si="48"/>
        <v>603.9907518466666</v>
      </c>
      <c r="H189" s="8">
        <f t="shared" si="49"/>
        <v>0.231335462282118</v>
      </c>
      <c r="I189" s="30">
        <f>IF(H189&lt;1,(Data!$G$16+14+0.8*Data!$G$17+Data!$G$18*(1-H189))*(1-H189),(Data!$G$16+6+Data!$G$17*(H189-0.6))*(H189-0.6))</f>
        <v>22.08936576901648</v>
      </c>
      <c r="J189" s="28">
        <f t="shared" si="47"/>
        <v>124.37528087084502</v>
      </c>
      <c r="K189" t="str">
        <f t="shared" si="50"/>
        <v>Cut</v>
      </c>
      <c r="L189" s="28">
        <f t="shared" si="51"/>
        <v>124.37528087084502</v>
      </c>
      <c r="M189" s="28">
        <f t="shared" si="52"/>
        <v>0</v>
      </c>
      <c r="N189" s="28">
        <f>SUM($L$3:L189)</f>
        <v>65018.64792632216</v>
      </c>
      <c r="O189" s="28">
        <f>SUM($M$3:M189)</f>
        <v>75126.88094742374</v>
      </c>
      <c r="Q189">
        <f>MATCH(C189,Ground!$A$3:$A$1999,1)</f>
        <v>77</v>
      </c>
      <c r="R189">
        <f ca="1">OFFSET(Ground!$A$2,Volume!Q189,0)</f>
        <v>6280</v>
      </c>
      <c r="S189">
        <f ca="1">OFFSET(Ground!$A$2,Volume!Q189,1)</f>
        <v>603.646761</v>
      </c>
      <c r="T189">
        <f ca="1">OFFSET(Ground!$A$2,Volume!Q189+1,0)</f>
        <v>6310</v>
      </c>
      <c r="U189">
        <f ca="1">OFFSET(Ground!$A$2,Volume!Q189+1,1)</f>
        <v>604.521314</v>
      </c>
      <c r="V189" s="26"/>
      <c r="W189">
        <f t="shared" si="35"/>
        <v>-34.654512080091784</v>
      </c>
      <c r="X189">
        <f>IF(Volume!W189&lt;'Temp Calcs'!$E$8,1,0)</f>
        <v>1</v>
      </c>
      <c r="Z189">
        <f t="shared" si="36"/>
        <v>32.035618289795785</v>
      </c>
      <c r="AA189">
        <f>IF(Volume!Z189&gt;'Temp Calcs'!$L$8,1,0)</f>
        <v>1</v>
      </c>
      <c r="AB189" s="8"/>
      <c r="AC189" s="7"/>
    </row>
    <row r="190" spans="1:29" ht="12.75">
      <c r="A190" s="1">
        <v>189</v>
      </c>
      <c r="C190" s="7">
        <f t="shared" si="46"/>
        <v>6297.8</v>
      </c>
      <c r="D190" s="8">
        <f t="shared" si="44"/>
        <v>604.3174675752059</v>
      </c>
      <c r="E190" s="7">
        <f t="shared" si="45"/>
        <v>1.6802014565911776</v>
      </c>
      <c r="F190" s="7"/>
      <c r="G190">
        <f t="shared" si="48"/>
        <v>604.1656624466666</v>
      </c>
      <c r="H190" s="8">
        <f t="shared" si="49"/>
        <v>0.1518051285393085</v>
      </c>
      <c r="I190" s="30">
        <f>IF(H190&lt;1,(Data!$G$16+14+0.8*Data!$G$17+Data!$G$18*(1-H190))*(1-H190),(Data!$G$16+6+Data!$G$17*(H190-0.6))*(H190-0.6))</f>
        <v>24.509769583675247</v>
      </c>
      <c r="J190" s="28">
        <f t="shared" si="47"/>
        <v>139.79740605807518</v>
      </c>
      <c r="K190" t="str">
        <f t="shared" si="50"/>
        <v>Cut</v>
      </c>
      <c r="L190" s="28">
        <f t="shared" si="51"/>
        <v>139.79740605807518</v>
      </c>
      <c r="M190" s="28">
        <f t="shared" si="52"/>
        <v>0</v>
      </c>
      <c r="N190" s="28">
        <f>SUM($L$3:L190)</f>
        <v>65158.44533238024</v>
      </c>
      <c r="O190" s="28">
        <f>SUM($M$3:M190)</f>
        <v>75126.88094742374</v>
      </c>
      <c r="Q190">
        <f>MATCH(C190,Ground!$A$3:$A$1999,1)</f>
        <v>77</v>
      </c>
      <c r="R190">
        <f ca="1">OFFSET(Ground!$A$2,Volume!Q190,0)</f>
        <v>6280</v>
      </c>
      <c r="S190">
        <f ca="1">OFFSET(Ground!$A$2,Volume!Q190,1)</f>
        <v>603.646761</v>
      </c>
      <c r="T190">
        <f ca="1">OFFSET(Ground!$A$2,Volume!Q190+1,0)</f>
        <v>6310</v>
      </c>
      <c r="U190">
        <f ca="1">OFFSET(Ground!$A$2,Volume!Q190+1,1)</f>
        <v>604.521314</v>
      </c>
      <c r="V190" s="26"/>
      <c r="W190">
        <f t="shared" si="35"/>
        <v>-35.23060231855165</v>
      </c>
      <c r="X190">
        <f>IF(Volume!W190&lt;'Temp Calcs'!$E$8,1,0)</f>
        <v>1</v>
      </c>
      <c r="Z190">
        <f t="shared" si="36"/>
        <v>32.66511152528373</v>
      </c>
      <c r="AA190">
        <f>IF(Volume!Z190&gt;'Temp Calcs'!$L$8,1,0)</f>
        <v>1</v>
      </c>
      <c r="AB190" s="8"/>
      <c r="AC190" s="7"/>
    </row>
    <row r="191" spans="1:29" ht="12.75">
      <c r="A191" s="1">
        <v>190</v>
      </c>
      <c r="C191" s="7">
        <f t="shared" si="46"/>
        <v>6303.8</v>
      </c>
      <c r="D191" s="8">
        <f t="shared" si="44"/>
        <v>604.4237114837397</v>
      </c>
      <c r="E191" s="7">
        <f t="shared" si="45"/>
        <v>1.861262161201176</v>
      </c>
      <c r="F191" s="7"/>
      <c r="G191">
        <f t="shared" si="48"/>
        <v>604.3405730466667</v>
      </c>
      <c r="H191" s="8">
        <f t="shared" si="49"/>
        <v>0.08313843707298929</v>
      </c>
      <c r="I191" s="30">
        <f>IF(H191&lt;1,(Data!$G$16+14+0.8*Data!$G$17+Data!$G$18*(1-H191))*(1-H191),(Data!$G$16+6+Data!$G$17*(H191-0.6))*(H191-0.6))</f>
        <v>26.619904762760612</v>
      </c>
      <c r="J191" s="28">
        <f t="shared" si="47"/>
        <v>153.38902303930757</v>
      </c>
      <c r="K191" t="str">
        <f t="shared" si="50"/>
        <v>Cut</v>
      </c>
      <c r="L191" s="28">
        <f t="shared" si="51"/>
        <v>153.38902303930757</v>
      </c>
      <c r="M191" s="28">
        <f t="shared" si="52"/>
        <v>0</v>
      </c>
      <c r="N191" s="28">
        <f>SUM($L$3:L191)</f>
        <v>65311.834355419545</v>
      </c>
      <c r="O191" s="28">
        <f>SUM($M$3:M191)</f>
        <v>75126.88094742374</v>
      </c>
      <c r="Q191">
        <f>MATCH(C191,Ground!$A$3:$A$1999,1)</f>
        <v>77</v>
      </c>
      <c r="R191">
        <f ca="1">OFFSET(Ground!$A$2,Volume!Q191,0)</f>
        <v>6280</v>
      </c>
      <c r="S191">
        <f ca="1">OFFSET(Ground!$A$2,Volume!Q191,1)</f>
        <v>603.646761</v>
      </c>
      <c r="T191">
        <f ca="1">OFFSET(Ground!$A$2,Volume!Q191+1,0)</f>
        <v>6310</v>
      </c>
      <c r="U191">
        <f ca="1">OFFSET(Ground!$A$2,Volume!Q191+1,1)</f>
        <v>604.521314</v>
      </c>
      <c r="V191" s="26"/>
      <c r="W191">
        <f t="shared" si="35"/>
        <v>-35.702403997509464</v>
      </c>
      <c r="X191">
        <f>IF(Volume!W191&lt;'Temp Calcs'!$E$8,1,0)</f>
        <v>1</v>
      </c>
      <c r="Z191">
        <f t="shared" si="36"/>
        <v>33.193891508662844</v>
      </c>
      <c r="AA191">
        <f>IF(Volume!Z191&gt;'Temp Calcs'!$L$8,1,0)</f>
        <v>1</v>
      </c>
      <c r="AB191" s="8"/>
      <c r="AC191" s="7"/>
    </row>
    <row r="192" spans="1:29" ht="12.75">
      <c r="A192" s="1">
        <v>191</v>
      </c>
      <c r="C192" s="7">
        <f t="shared" si="46"/>
        <v>6309.8</v>
      </c>
      <c r="D192" s="8">
        <f t="shared" si="44"/>
        <v>604.54081903455</v>
      </c>
      <c r="E192" s="7">
        <f t="shared" si="45"/>
        <v>2.0423228658111725</v>
      </c>
      <c r="F192" s="7"/>
      <c r="G192">
        <f t="shared" si="48"/>
        <v>604.5154836466667</v>
      </c>
      <c r="H192" s="8">
        <f t="shared" si="49"/>
        <v>0.02533538788338774</v>
      </c>
      <c r="I192" s="30">
        <f>IF(H192&lt;1,(Data!$G$16+14+0.8*Data!$G$17+Data!$G$18*(1-H192))*(1-H192),(Data!$G$16+6+Data!$G$17*(H192-0.6))*(H192-0.6))</f>
        <v>28.410819661796705</v>
      </c>
      <c r="J192" s="28">
        <f t="shared" si="47"/>
        <v>165.09217327367196</v>
      </c>
      <c r="K192" t="str">
        <f t="shared" si="50"/>
        <v>Cut</v>
      </c>
      <c r="L192" s="28">
        <f t="shared" si="51"/>
        <v>165.09217327367196</v>
      </c>
      <c r="M192" s="28">
        <f t="shared" si="52"/>
        <v>0</v>
      </c>
      <c r="N192" s="28">
        <f>SUM($L$3:L192)</f>
        <v>65476.92652869322</v>
      </c>
      <c r="O192" s="28">
        <f>SUM($M$3:M192)</f>
        <v>75126.88094742374</v>
      </c>
      <c r="Q192">
        <f>MATCH(C192,Ground!$A$3:$A$1999,1)</f>
        <v>77</v>
      </c>
      <c r="R192">
        <f ca="1">OFFSET(Ground!$A$2,Volume!Q192,0)</f>
        <v>6280</v>
      </c>
      <c r="S192">
        <f ca="1">OFFSET(Ground!$A$2,Volume!Q192,1)</f>
        <v>603.646761</v>
      </c>
      <c r="T192">
        <f ca="1">OFFSET(Ground!$A$2,Volume!Q192+1,0)</f>
        <v>6310</v>
      </c>
      <c r="U192">
        <f ca="1">OFFSET(Ground!$A$2,Volume!Q192+1,1)</f>
        <v>604.521314</v>
      </c>
      <c r="V192" s="26"/>
      <c r="W192">
        <f t="shared" si="35"/>
        <v>-36.07356214413467</v>
      </c>
      <c r="X192">
        <f>IF(Volume!W192&lt;'Temp Calcs'!$E$8,1,0)</f>
        <v>1</v>
      </c>
      <c r="Z192">
        <f t="shared" si="36"/>
        <v>33.62499183060101</v>
      </c>
      <c r="AA192">
        <f>IF(Volume!Z192&gt;'Temp Calcs'!$L$8,1,0)</f>
        <v>1</v>
      </c>
      <c r="AB192" s="8"/>
      <c r="AC192" s="7"/>
    </row>
    <row r="193" spans="1:29" ht="12.75">
      <c r="A193" s="1">
        <v>192</v>
      </c>
      <c r="C193" s="7">
        <f t="shared" si="46"/>
        <v>6315.8</v>
      </c>
      <c r="D193" s="8">
        <f t="shared" si="44"/>
        <v>604.668790227637</v>
      </c>
      <c r="E193" s="7">
        <f t="shared" si="45"/>
        <v>2.22338357042117</v>
      </c>
      <c r="F193" s="7"/>
      <c r="G193">
        <f t="shared" si="48"/>
        <v>604.6712530866666</v>
      </c>
      <c r="H193" s="8">
        <f t="shared" si="49"/>
        <v>-0.0024628590296060793</v>
      </c>
      <c r="I193" s="30">
        <f>IF(H193&lt;1,(Data!$G$16+14+0.8*Data!$G$17+Data!$G$18*(1-H193))*(1-H193),(Data!$G$16+6+Data!$G$17*(H193-0.6))*(H193-0.6))</f>
        <v>29.276853333072907</v>
      </c>
      <c r="J193" s="28">
        <f t="shared" si="47"/>
        <v>173.06301898460885</v>
      </c>
      <c r="K193" t="str">
        <f t="shared" si="50"/>
        <v>Cut</v>
      </c>
      <c r="L193" s="28">
        <f t="shared" si="51"/>
        <v>173.06301898460885</v>
      </c>
      <c r="M193" s="28">
        <f t="shared" si="52"/>
        <v>0</v>
      </c>
      <c r="N193" s="28">
        <f>SUM($L$3:L193)</f>
        <v>65649.98954767783</v>
      </c>
      <c r="O193" s="28">
        <f>SUM($M$3:M193)</f>
        <v>75126.88094742374</v>
      </c>
      <c r="Q193">
        <f>MATCH(C193,Ground!$A$3:$A$1999,1)</f>
        <v>78</v>
      </c>
      <c r="R193">
        <f ca="1">OFFSET(Ground!$A$2,Volume!Q193,0)</f>
        <v>6310</v>
      </c>
      <c r="S193">
        <f ca="1">OFFSET(Ground!$A$2,Volume!Q193,1)</f>
        <v>604.521314</v>
      </c>
      <c r="T193">
        <f ca="1">OFFSET(Ground!$A$2,Volume!Q193+1,0)</f>
        <v>6340</v>
      </c>
      <c r="U193">
        <f ca="1">OFFSET(Ground!$A$2,Volume!Q193+1,1)</f>
        <v>605.296861</v>
      </c>
      <c r="V193" s="26"/>
      <c r="W193">
        <f t="shared" si="35"/>
        <v>-36.348702516050324</v>
      </c>
      <c r="X193">
        <f>IF(Volume!W193&lt;'Temp Calcs'!$E$8,1,0)</f>
        <v>1</v>
      </c>
      <c r="Z193">
        <f t="shared" si="36"/>
        <v>33.96244270866149</v>
      </c>
      <c r="AA193">
        <f>IF(Volume!Z193&gt;'Temp Calcs'!$L$8,1,0)</f>
        <v>1</v>
      </c>
      <c r="AB193" s="8"/>
      <c r="AC193" s="7"/>
    </row>
    <row r="194" spans="1:29" ht="12.75">
      <c r="A194" s="1">
        <v>193</v>
      </c>
      <c r="C194" s="7">
        <f t="shared" si="46"/>
        <v>6321.8</v>
      </c>
      <c r="D194" s="8">
        <f t="shared" si="44"/>
        <v>604.8076250630006</v>
      </c>
      <c r="E194" s="7">
        <f t="shared" si="45"/>
        <v>2.4044442750311683</v>
      </c>
      <c r="F194" s="7"/>
      <c r="G194">
        <f t="shared" si="48"/>
        <v>604.8263624866667</v>
      </c>
      <c r="H194" s="8">
        <f t="shared" si="49"/>
        <v>-0.01873742366603892</v>
      </c>
      <c r="I194" s="30">
        <f>IF(H194&lt;1,(Data!$G$16+14+0.8*Data!$G$17+Data!$G$18*(1-H194))*(1-H194),(Data!$G$16+6+Data!$G$17*(H194-0.6))*(H194-0.6))</f>
        <v>29.785309800471694</v>
      </c>
      <c r="J194" s="28">
        <f t="shared" si="47"/>
        <v>177.1864894006338</v>
      </c>
      <c r="K194" t="str">
        <f t="shared" si="50"/>
        <v>Cut</v>
      </c>
      <c r="L194" s="28">
        <f t="shared" si="51"/>
        <v>177.1864894006338</v>
      </c>
      <c r="M194" s="28">
        <f t="shared" si="52"/>
        <v>0</v>
      </c>
      <c r="N194" s="28">
        <f>SUM($L$3:L194)</f>
        <v>65827.17603707846</v>
      </c>
      <c r="O194" s="28">
        <f>SUM($M$3:M194)</f>
        <v>75126.88094742374</v>
      </c>
      <c r="Q194">
        <f>MATCH(C194,Ground!$A$3:$A$1999,1)</f>
        <v>78</v>
      </c>
      <c r="R194">
        <f ca="1">OFFSET(Ground!$A$2,Volume!Q194,0)</f>
        <v>6310</v>
      </c>
      <c r="S194">
        <f ca="1">OFFSET(Ground!$A$2,Volume!Q194,1)</f>
        <v>604.521314</v>
      </c>
      <c r="T194">
        <f ca="1">OFFSET(Ground!$A$2,Volume!Q194+1,0)</f>
        <v>6340</v>
      </c>
      <c r="U194">
        <f ca="1">OFFSET(Ground!$A$2,Volume!Q194+1,1)</f>
        <v>605.296861</v>
      </c>
      <c r="V194" s="26"/>
      <c r="W194">
        <f t="shared" si="35"/>
        <v>-36.53322323086214</v>
      </c>
      <c r="X194">
        <f>IF(Volume!W194&lt;'Temp Calcs'!$E$8,1,0)</f>
        <v>1</v>
      </c>
      <c r="Z194">
        <f t="shared" si="36"/>
        <v>34.21107333536796</v>
      </c>
      <c r="AA194">
        <f>IF(Volume!Z194&gt;'Temp Calcs'!$L$8,1,0)</f>
        <v>1</v>
      </c>
      <c r="AB194" s="8"/>
      <c r="AC194" s="7"/>
    </row>
    <row r="195" spans="1:29" ht="12.75">
      <c r="A195" s="1">
        <v>194</v>
      </c>
      <c r="C195" s="7">
        <f t="shared" si="46"/>
        <v>6327.8</v>
      </c>
      <c r="D195" s="8">
        <f t="shared" si="44"/>
        <v>604.9573235406408</v>
      </c>
      <c r="E195" s="7">
        <f t="shared" si="45"/>
        <v>2.5855049796411658</v>
      </c>
      <c r="F195" s="7"/>
      <c r="G195">
        <f t="shared" si="48"/>
        <v>604.9814718866667</v>
      </c>
      <c r="H195" s="8">
        <f t="shared" si="49"/>
        <v>-0.024148346025867795</v>
      </c>
      <c r="I195" s="30">
        <f>IF(H195&lt;1,(Data!$G$16+14+0.8*Data!$G$17+Data!$G$18*(1-H195))*(1-H195),(Data!$G$16+6+Data!$G$17*(H195-0.6))*(H195-0.6))</f>
        <v>29.954594681238646</v>
      </c>
      <c r="J195" s="28">
        <f t="shared" si="47"/>
        <v>179.21971344513102</v>
      </c>
      <c r="K195" t="str">
        <f t="shared" si="50"/>
        <v>Cut</v>
      </c>
      <c r="L195" s="28">
        <f t="shared" si="51"/>
        <v>179.21971344513102</v>
      </c>
      <c r="M195" s="28">
        <f t="shared" si="52"/>
        <v>0</v>
      </c>
      <c r="N195" s="28">
        <f>SUM($L$3:L195)</f>
        <v>66006.39575052359</v>
      </c>
      <c r="O195" s="28">
        <f>SUM($M$3:M195)</f>
        <v>75126.88094742374</v>
      </c>
      <c r="Q195">
        <f>MATCH(C195,Ground!$A$3:$A$1999,1)</f>
        <v>78</v>
      </c>
      <c r="R195">
        <f ca="1">OFFSET(Ground!$A$2,Volume!Q195,0)</f>
        <v>6310</v>
      </c>
      <c r="S195">
        <f ca="1">OFFSET(Ground!$A$2,Volume!Q195,1)</f>
        <v>604.521314</v>
      </c>
      <c r="T195">
        <f ca="1">OFFSET(Ground!$A$2,Volume!Q195+1,0)</f>
        <v>6340</v>
      </c>
      <c r="U195">
        <f ca="1">OFFSET(Ground!$A$2,Volume!Q195+1,1)</f>
        <v>605.296861</v>
      </c>
      <c r="V195" s="26"/>
      <c r="W195">
        <f aca="true" t="shared" si="53" ref="W195:W258">($W$1-C195)/(D195-$X$1)</f>
        <v>-36.633091537725946</v>
      </c>
      <c r="X195">
        <f>IF(Volume!W195&lt;'Temp Calcs'!$E$8,1,0)</f>
        <v>1</v>
      </c>
      <c r="Z195">
        <f aca="true" t="shared" si="54" ref="Z195:Z258">(C195-$Z$1)/(D195-$AA$1)</f>
        <v>34.37631707059359</v>
      </c>
      <c r="AA195">
        <f>IF(Volume!Z195&gt;'Temp Calcs'!$L$8,1,0)</f>
        <v>1</v>
      </c>
      <c r="AB195" s="8"/>
      <c r="AC195" s="7"/>
    </row>
    <row r="196" spans="1:29" ht="12.75">
      <c r="A196" s="1">
        <v>195</v>
      </c>
      <c r="C196" s="7">
        <f t="shared" si="46"/>
        <v>6333.8</v>
      </c>
      <c r="D196" s="8">
        <f t="shared" si="44"/>
        <v>605.1178856605576</v>
      </c>
      <c r="E196" s="7">
        <f t="shared" si="45"/>
        <v>2.7665656842511623</v>
      </c>
      <c r="F196" s="7"/>
      <c r="G196">
        <f t="shared" si="48"/>
        <v>605.1365812866667</v>
      </c>
      <c r="H196" s="8">
        <f t="shared" si="49"/>
        <v>-0.0186956261090927</v>
      </c>
      <c r="I196" s="30">
        <f>IF(H196&lt;1,(Data!$G$16+14+0.8*Data!$G$17+Data!$G$18*(1-H196))*(1-H196),(Data!$G$16+6+Data!$G$17*(H196-0.6))*(H196-0.6))</f>
        <v>29.784002587474912</v>
      </c>
      <c r="J196" s="28">
        <f t="shared" si="47"/>
        <v>179.2157918061407</v>
      </c>
      <c r="K196" t="str">
        <f t="shared" si="50"/>
        <v>Cut</v>
      </c>
      <c r="L196" s="28">
        <f t="shared" si="51"/>
        <v>179.2157918061407</v>
      </c>
      <c r="M196" s="28">
        <f t="shared" si="52"/>
        <v>0</v>
      </c>
      <c r="N196" s="28">
        <f>SUM($L$3:L196)</f>
        <v>66185.61154232973</v>
      </c>
      <c r="O196" s="28">
        <f>SUM($M$3:M196)</f>
        <v>75126.88094742374</v>
      </c>
      <c r="Q196">
        <f>MATCH(C196,Ground!$A$3:$A$1999,1)</f>
        <v>78</v>
      </c>
      <c r="R196">
        <f ca="1">OFFSET(Ground!$A$2,Volume!Q196,0)</f>
        <v>6310</v>
      </c>
      <c r="S196">
        <f ca="1">OFFSET(Ground!$A$2,Volume!Q196,1)</f>
        <v>604.521314</v>
      </c>
      <c r="T196">
        <f ca="1">OFFSET(Ground!$A$2,Volume!Q196+1,0)</f>
        <v>6340</v>
      </c>
      <c r="U196">
        <f ca="1">OFFSET(Ground!$A$2,Volume!Q196+1,1)</f>
        <v>605.296861</v>
      </c>
      <c r="V196" s="26"/>
      <c r="W196">
        <f t="shared" si="53"/>
        <v>-36.65465335389297</v>
      </c>
      <c r="X196">
        <f>IF(Volume!W196&lt;'Temp Calcs'!$E$8,1,0)</f>
        <v>1</v>
      </c>
      <c r="Z196">
        <f t="shared" si="54"/>
        <v>34.46402712625854</v>
      </c>
      <c r="AA196">
        <f>IF(Volume!Z196&gt;'Temp Calcs'!$L$8,1,0)</f>
        <v>1</v>
      </c>
      <c r="AB196" s="8"/>
      <c r="AC196" s="7"/>
    </row>
    <row r="197" spans="1:29" ht="12.75">
      <c r="A197" s="1">
        <v>196</v>
      </c>
      <c r="C197" s="7">
        <f t="shared" si="46"/>
        <v>6339.8</v>
      </c>
      <c r="D197" s="8">
        <f t="shared" si="44"/>
        <v>605.2893114227509</v>
      </c>
      <c r="E197" s="7">
        <f t="shared" si="45"/>
        <v>2.9476263888611607</v>
      </c>
      <c r="F197" s="7"/>
      <c r="G197">
        <f t="shared" si="48"/>
        <v>605.2916906866667</v>
      </c>
      <c r="H197" s="8">
        <f t="shared" si="49"/>
        <v>-0.0023792639158273232</v>
      </c>
      <c r="I197" s="30">
        <f>IF(H197&lt;1,(Data!$G$16+14+0.8*Data!$G$17+Data!$G$18*(1-H197))*(1-H197),(Data!$G$16+6+Data!$G$17*(H197-0.6))*(H197-0.6))</f>
        <v>29.274244355967372</v>
      </c>
      <c r="J197" s="28">
        <f t="shared" si="47"/>
        <v>177.17474083032687</v>
      </c>
      <c r="K197" t="str">
        <f t="shared" si="50"/>
        <v>Cut</v>
      </c>
      <c r="L197" s="28">
        <f t="shared" si="51"/>
        <v>177.17474083032687</v>
      </c>
      <c r="M197" s="28">
        <f t="shared" si="52"/>
        <v>0</v>
      </c>
      <c r="N197" s="28">
        <f>SUM($L$3:L197)</f>
        <v>66362.78628316005</v>
      </c>
      <c r="O197" s="28">
        <f>SUM($M$3:M197)</f>
        <v>75126.88094742374</v>
      </c>
      <c r="Q197">
        <f>MATCH(C197,Ground!$A$3:$A$1999,1)</f>
        <v>78</v>
      </c>
      <c r="R197">
        <f ca="1">OFFSET(Ground!$A$2,Volume!Q197,0)</f>
        <v>6310</v>
      </c>
      <c r="S197">
        <f ca="1">OFFSET(Ground!$A$2,Volume!Q197,1)</f>
        <v>604.521314</v>
      </c>
      <c r="T197">
        <f ca="1">OFFSET(Ground!$A$2,Volume!Q197+1,0)</f>
        <v>6340</v>
      </c>
      <c r="U197">
        <f ca="1">OFFSET(Ground!$A$2,Volume!Q197+1,1)</f>
        <v>605.296861</v>
      </c>
      <c r="V197" s="26"/>
      <c r="W197">
        <f t="shared" si="53"/>
        <v>-36.604461061788186</v>
      </c>
      <c r="X197">
        <f>IF(Volume!W197&lt;'Temp Calcs'!$E$8,1,0)</f>
        <v>1</v>
      </c>
      <c r="Z197">
        <f t="shared" si="54"/>
        <v>34.48030838157416</v>
      </c>
      <c r="AA197">
        <f>IF(Volume!Z197&gt;'Temp Calcs'!$L$8,1,0)</f>
        <v>1</v>
      </c>
      <c r="AB197" s="8"/>
      <c r="AC197" s="7"/>
    </row>
    <row r="198" spans="1:29" ht="12.75">
      <c r="A198" s="1">
        <v>197</v>
      </c>
      <c r="C198" s="7">
        <f t="shared" si="46"/>
        <v>6345.8</v>
      </c>
      <c r="D198" s="8">
        <f t="shared" si="44"/>
        <v>605.4716008272209</v>
      </c>
      <c r="E198" s="7">
        <f t="shared" si="45"/>
        <v>3.128687093471158</v>
      </c>
      <c r="F198" s="7"/>
      <c r="G198">
        <f t="shared" si="48"/>
        <v>605.4860807800001</v>
      </c>
      <c r="H198" s="8">
        <f t="shared" si="49"/>
        <v>-0.014479952779197447</v>
      </c>
      <c r="I198" s="30">
        <f>IF(H198&lt;1,(Data!$G$16+14+0.8*Data!$G$17+Data!$G$18*(1-H198))*(1-H198),(Data!$G$16+6+Data!$G$17*(H198-0.6))*(H198-0.6))</f>
        <v>29.652193864775935</v>
      </c>
      <c r="J198" s="28">
        <f t="shared" si="47"/>
        <v>176.77931466222992</v>
      </c>
      <c r="K198" t="str">
        <f t="shared" si="50"/>
        <v>Cut</v>
      </c>
      <c r="L198" s="28">
        <f t="shared" si="51"/>
        <v>176.77931466222992</v>
      </c>
      <c r="M198" s="28">
        <f t="shared" si="52"/>
        <v>0</v>
      </c>
      <c r="N198" s="28">
        <f>SUM($L$3:L198)</f>
        <v>66539.56559782228</v>
      </c>
      <c r="O198" s="28">
        <f>SUM($M$3:M198)</f>
        <v>75126.88094742374</v>
      </c>
      <c r="Q198">
        <f>MATCH(C198,Ground!$A$3:$A$1999,1)</f>
        <v>79</v>
      </c>
      <c r="R198">
        <f ca="1">OFFSET(Ground!$A$2,Volume!Q198,0)</f>
        <v>6340</v>
      </c>
      <c r="S198">
        <f ca="1">OFFSET(Ground!$A$2,Volume!Q198,1)</f>
        <v>605.296861</v>
      </c>
      <c r="T198">
        <f ca="1">OFFSET(Ground!$A$2,Volume!Q198+1,0)</f>
        <v>6370</v>
      </c>
      <c r="U198">
        <f ca="1">OFFSET(Ground!$A$2,Volume!Q198+1,1)</f>
        <v>606.275584</v>
      </c>
      <c r="V198" s="26"/>
      <c r="W198">
        <f t="shared" si="53"/>
        <v>-36.489123022058344</v>
      </c>
      <c r="X198">
        <f>IF(Volume!W198&lt;'Temp Calcs'!$E$8,1,0)</f>
        <v>1</v>
      </c>
      <c r="Z198">
        <f t="shared" si="54"/>
        <v>34.43136900981764</v>
      </c>
      <c r="AA198">
        <f>IF(Volume!Z198&gt;'Temp Calcs'!$L$8,1,0)</f>
        <v>1</v>
      </c>
      <c r="AB198" s="8"/>
      <c r="AC198" s="7"/>
    </row>
    <row r="199" spans="1:29" ht="12.75">
      <c r="A199" s="1">
        <v>198</v>
      </c>
      <c r="C199" s="7">
        <f t="shared" si="46"/>
        <v>6351.8</v>
      </c>
      <c r="D199" s="8">
        <f t="shared" si="44"/>
        <v>605.6647538739674</v>
      </c>
      <c r="E199" s="7">
        <f t="shared" si="45"/>
        <v>3.3097477980811556</v>
      </c>
      <c r="F199" s="7"/>
      <c r="G199">
        <f t="shared" si="48"/>
        <v>605.68182538</v>
      </c>
      <c r="H199" s="8">
        <f t="shared" si="49"/>
        <v>-0.01707150603260743</v>
      </c>
      <c r="I199" s="30">
        <f>IF(H199&lt;1,(Data!$G$16+14+0.8*Data!$G$17+Data!$G$18*(1-H199))*(1-H199),(Data!$G$16+6+Data!$G$17*(H199-0.6))*(H199-0.6))</f>
        <v>29.733213860853795</v>
      </c>
      <c r="J199" s="28">
        <f t="shared" si="47"/>
        <v>178.1562231768892</v>
      </c>
      <c r="K199" t="str">
        <f t="shared" si="50"/>
        <v>Cut</v>
      </c>
      <c r="L199" s="28">
        <f t="shared" si="51"/>
        <v>178.1562231768892</v>
      </c>
      <c r="M199" s="28">
        <f t="shared" si="52"/>
        <v>0</v>
      </c>
      <c r="N199" s="28">
        <f>SUM($L$3:L199)</f>
        <v>66717.72182099917</v>
      </c>
      <c r="O199" s="28">
        <f>SUM($M$3:M199)</f>
        <v>75126.88094742374</v>
      </c>
      <c r="Q199">
        <f>MATCH(C199,Ground!$A$3:$A$1999,1)</f>
        <v>79</v>
      </c>
      <c r="R199">
        <f ca="1">OFFSET(Ground!$A$2,Volume!Q199,0)</f>
        <v>6340</v>
      </c>
      <c r="S199">
        <f ca="1">OFFSET(Ground!$A$2,Volume!Q199,1)</f>
        <v>605.296861</v>
      </c>
      <c r="T199">
        <f ca="1">OFFSET(Ground!$A$2,Volume!Q199+1,0)</f>
        <v>6370</v>
      </c>
      <c r="U199">
        <f ca="1">OFFSET(Ground!$A$2,Volume!Q199+1,1)</f>
        <v>606.275584</v>
      </c>
      <c r="V199" s="26"/>
      <c r="W199">
        <f t="shared" si="53"/>
        <v>-36.31517644984296</v>
      </c>
      <c r="X199">
        <f>IF(Volume!W199&lt;'Temp Calcs'!$E$8,1,0)</f>
        <v>1</v>
      </c>
      <c r="Z199">
        <f t="shared" si="54"/>
        <v>34.32339383912896</v>
      </c>
      <c r="AA199">
        <f>IF(Volume!Z199&gt;'Temp Calcs'!$L$8,1,0)</f>
        <v>1</v>
      </c>
      <c r="AB199" s="8"/>
      <c r="AC199" s="7"/>
    </row>
    <row r="200" spans="1:29" ht="12.75">
      <c r="A200" s="1">
        <v>199</v>
      </c>
      <c r="C200" s="7">
        <f t="shared" si="46"/>
        <v>6357.8</v>
      </c>
      <c r="D200" s="8">
        <f t="shared" si="44"/>
        <v>605.8687705629906</v>
      </c>
      <c r="E200" s="7">
        <f t="shared" si="45"/>
        <v>3.490808502691153</v>
      </c>
      <c r="F200" s="7"/>
      <c r="G200">
        <f t="shared" si="48"/>
        <v>605.87756998</v>
      </c>
      <c r="H200" s="8">
        <f t="shared" si="49"/>
        <v>-0.008799417009413446</v>
      </c>
      <c r="I200" s="30">
        <f>IF(H200&lt;1,(Data!$G$16+14+0.8*Data!$G$17+Data!$G$18*(1-H200))*(1-H200),(Data!$G$16+6+Data!$G$17*(H200-0.6))*(H200-0.6))</f>
        <v>29.47469667017311</v>
      </c>
      <c r="J200" s="28">
        <f t="shared" si="47"/>
        <v>177.62373159308072</v>
      </c>
      <c r="K200" t="str">
        <f t="shared" si="50"/>
        <v>Cut</v>
      </c>
      <c r="L200" s="28">
        <f t="shared" si="51"/>
        <v>177.62373159308072</v>
      </c>
      <c r="M200" s="28">
        <f t="shared" si="52"/>
        <v>0</v>
      </c>
      <c r="N200" s="28">
        <f>SUM($L$3:L200)</f>
        <v>66895.34555259225</v>
      </c>
      <c r="O200" s="28">
        <f>SUM($M$3:M200)</f>
        <v>75126.88094742374</v>
      </c>
      <c r="Q200">
        <f>MATCH(C200,Ground!$A$3:$A$1999,1)</f>
        <v>79</v>
      </c>
      <c r="R200">
        <f ca="1">OFFSET(Ground!$A$2,Volume!Q200,0)</f>
        <v>6340</v>
      </c>
      <c r="S200">
        <f ca="1">OFFSET(Ground!$A$2,Volume!Q200,1)</f>
        <v>605.296861</v>
      </c>
      <c r="T200">
        <f ca="1">OFFSET(Ground!$A$2,Volume!Q200+1,0)</f>
        <v>6370</v>
      </c>
      <c r="U200">
        <f ca="1">OFFSET(Ground!$A$2,Volume!Q200+1,1)</f>
        <v>606.275584</v>
      </c>
      <c r="V200" s="26"/>
      <c r="W200">
        <f t="shared" si="53"/>
        <v>-36.08898380936239</v>
      </c>
      <c r="X200">
        <f>IF(Volume!W200&lt;'Temp Calcs'!$E$8,1,0)</f>
        <v>1</v>
      </c>
      <c r="Z200">
        <f t="shared" si="54"/>
        <v>34.1624398985463</v>
      </c>
      <c r="AA200">
        <f>IF(Volume!Z200&gt;'Temp Calcs'!$L$8,1,0)</f>
        <v>1</v>
      </c>
      <c r="AB200" s="8"/>
      <c r="AC200" s="7"/>
    </row>
    <row r="201" spans="1:29" ht="12.75">
      <c r="A201" s="1">
        <v>200</v>
      </c>
      <c r="C201" s="7">
        <f t="shared" si="46"/>
        <v>6363.8</v>
      </c>
      <c r="D201" s="8">
        <f t="shared" si="44"/>
        <v>606.0836508942904</v>
      </c>
      <c r="E201" s="7">
        <f t="shared" si="45"/>
        <v>3.6718692073011505</v>
      </c>
      <c r="F201" s="7"/>
      <c r="G201">
        <f t="shared" si="48"/>
        <v>606.07331458</v>
      </c>
      <c r="H201" s="8">
        <f t="shared" si="49"/>
        <v>0.010336314290384507</v>
      </c>
      <c r="I201" s="30">
        <f>IF(H201&lt;1,(Data!$G$16+14+0.8*Data!$G$17+Data!$G$18*(1-H201))*(1-H201),(Data!$G$16+6+Data!$G$17*(H201-0.6))*(H201-0.6))</f>
        <v>28.877720672926223</v>
      </c>
      <c r="J201" s="28">
        <f t="shared" si="47"/>
        <v>175.057252029298</v>
      </c>
      <c r="K201" t="str">
        <f t="shared" si="50"/>
        <v>Cut</v>
      </c>
      <c r="L201" s="28">
        <f t="shared" si="51"/>
        <v>175.057252029298</v>
      </c>
      <c r="M201" s="28">
        <f t="shared" si="52"/>
        <v>0</v>
      </c>
      <c r="N201" s="28">
        <f>SUM($L$3:L201)</f>
        <v>67070.40280462154</v>
      </c>
      <c r="O201" s="28">
        <f>SUM($M$3:M201)</f>
        <v>75126.88094742374</v>
      </c>
      <c r="Q201">
        <f>MATCH(C201,Ground!$A$3:$A$1999,1)</f>
        <v>79</v>
      </c>
      <c r="R201">
        <f ca="1">OFFSET(Ground!$A$2,Volume!Q201,0)</f>
        <v>6340</v>
      </c>
      <c r="S201">
        <f ca="1">OFFSET(Ground!$A$2,Volume!Q201,1)</f>
        <v>605.296861</v>
      </c>
      <c r="T201">
        <f ca="1">OFFSET(Ground!$A$2,Volume!Q201+1,0)</f>
        <v>6370</v>
      </c>
      <c r="U201">
        <f ca="1">OFFSET(Ground!$A$2,Volume!Q201+1,1)</f>
        <v>606.275584</v>
      </c>
      <c r="V201" s="26"/>
      <c r="W201">
        <f t="shared" si="53"/>
        <v>-35.816651737681696</v>
      </c>
      <c r="X201">
        <f>IF(Volume!W201&lt;'Temp Calcs'!$E$8,1,0)</f>
        <v>1</v>
      </c>
      <c r="Z201">
        <f t="shared" si="54"/>
        <v>33.954353454167766</v>
      </c>
      <c r="AA201">
        <f>IF(Volume!Z201&gt;'Temp Calcs'!$L$8,1,0)</f>
        <v>1</v>
      </c>
      <c r="AB201" s="8"/>
      <c r="AC201" s="7"/>
    </row>
    <row r="202" spans="1:29" ht="12.75">
      <c r="A202" s="1">
        <v>201</v>
      </c>
      <c r="B202" s="1" t="s">
        <v>18</v>
      </c>
      <c r="C202" s="5">
        <f>Data!C5+Data!F5/2</f>
        <v>6369.8</v>
      </c>
      <c r="D202" s="6">
        <f>Data!D5+Data!E5/100*Data!F5/2</f>
        <v>606.3093948678667</v>
      </c>
      <c r="E202" s="5">
        <f>Data!E5</f>
        <v>3.8529299119111475</v>
      </c>
      <c r="F202" s="5"/>
      <c r="G202">
        <f>S202+(U202-S202)*(C202-R202)/(T202-R202)</f>
        <v>606.26905918</v>
      </c>
      <c r="H202" s="8">
        <f>D202-G202</f>
        <v>0.04033568786667274</v>
      </c>
      <c r="I202" s="30">
        <f>IF(H202&lt;1,(Data!$G$16+14+0.8*Data!$G$17+Data!$G$18*(1-H202))*(1-H202),(Data!$G$16+6+Data!$G$17*(H202-0.6))*(H202-0.6))</f>
        <v>27.944780473991166</v>
      </c>
      <c r="J202" s="28">
        <f t="shared" si="47"/>
        <v>170.46750344075218</v>
      </c>
      <c r="K202" t="str">
        <f>IF(H202&lt;0.5,"Cut","Fill")</f>
        <v>Cut</v>
      </c>
      <c r="L202" s="28">
        <f>IF(K202="Cut",J202,0)</f>
        <v>170.46750344075218</v>
      </c>
      <c r="M202" s="28">
        <f>IF(K202="Fill",J202,0)</f>
        <v>0</v>
      </c>
      <c r="N202" s="28">
        <f>SUM($L$3:L202)</f>
        <v>67240.8703080623</v>
      </c>
      <c r="O202" s="28">
        <f>SUM($M$3:M202)</f>
        <v>75126.88094742374</v>
      </c>
      <c r="Q202">
        <f>MATCH(C202,Ground!$A$3:$A$1999,1)</f>
        <v>79</v>
      </c>
      <c r="R202">
        <f ca="1">OFFSET(Ground!$A$2,Volume!Q202,0)</f>
        <v>6340</v>
      </c>
      <c r="S202">
        <f ca="1">OFFSET(Ground!$A$2,Volume!Q202,1)</f>
        <v>605.296861</v>
      </c>
      <c r="T202">
        <f ca="1">OFFSET(Ground!$A$2,Volume!Q202+1,0)</f>
        <v>6370</v>
      </c>
      <c r="U202">
        <f ca="1">OFFSET(Ground!$A$2,Volume!Q202+1,1)</f>
        <v>606.275584</v>
      </c>
      <c r="V202" s="26"/>
      <c r="W202">
        <f t="shared" si="53"/>
        <v>-35.503970703678114</v>
      </c>
      <c r="X202">
        <f>IF(Volume!W202&lt;'Temp Calcs'!$E$8,1,0)</f>
        <v>1</v>
      </c>
      <c r="Z202">
        <f t="shared" si="54"/>
        <v>33.704707016680615</v>
      </c>
      <c r="AA202">
        <f>IF(Volume!Z202&gt;'Temp Calcs'!$L$8,1,0)</f>
        <v>1</v>
      </c>
      <c r="AB202" s="6"/>
      <c r="AC202" s="5"/>
    </row>
    <row r="203" spans="1:29" ht="12.75">
      <c r="A203" s="1">
        <v>202</v>
      </c>
      <c r="B203" s="1"/>
      <c r="C203" s="31">
        <f>C202+($C$252-$C$202)/50</f>
        <v>6374.244000000001</v>
      </c>
      <c r="D203" s="8">
        <f>$D$202+($D$252-$D$202)*(C203-$C$202)/($C$252-$C$202)</f>
        <v>606.4806190731521</v>
      </c>
      <c r="E203" s="7">
        <f>E202</f>
        <v>3.8529299119111475</v>
      </c>
      <c r="F203" s="5"/>
      <c r="G203">
        <f aca="true" t="shared" si="55" ref="G203:G251">S203+(U203-S203)*(C203-R203)/(T203-R203)</f>
        <v>606.4080451816</v>
      </c>
      <c r="H203" s="8">
        <f aca="true" t="shared" si="56" ref="H203:H251">D203-G203</f>
        <v>0.07257389155211058</v>
      </c>
      <c r="I203" s="30">
        <f>IF(H203&lt;1,(Data!$G$16+14+0.8*Data!$G$17+Data!$G$18*(1-H203))*(1-H203),(Data!$G$16+6+Data!$G$17*(H203-0.6))*(H203-0.6))</f>
        <v>26.946228523044184</v>
      </c>
      <c r="J203" s="28">
        <f t="shared" si="47"/>
        <v>121.96782199142393</v>
      </c>
      <c r="K203" t="str">
        <f aca="true" t="shared" si="57" ref="K203:K251">IF(H203&lt;0.5,"Cut","Fill")</f>
        <v>Cut</v>
      </c>
      <c r="L203" s="28">
        <f aca="true" t="shared" si="58" ref="L203:L251">IF(K203="Cut",J203,0)</f>
        <v>121.96782199142393</v>
      </c>
      <c r="M203" s="28">
        <f aca="true" t="shared" si="59" ref="M203:M251">IF(K203="Fill",J203,0)</f>
        <v>0</v>
      </c>
      <c r="N203" s="28">
        <f>SUM($L$3:L203)</f>
        <v>67362.83813005371</v>
      </c>
      <c r="O203" s="28">
        <f>SUM($M$3:M203)</f>
        <v>75126.88094742374</v>
      </c>
      <c r="Q203">
        <f>MATCH(C203,Ground!$A$3:$A$1999,1)</f>
        <v>80</v>
      </c>
      <c r="R203">
        <f ca="1">OFFSET(Ground!$A$2,Volume!Q203,0)</f>
        <v>6370</v>
      </c>
      <c r="S203">
        <f ca="1">OFFSET(Ground!$A$2,Volume!Q203,1)</f>
        <v>606.275584</v>
      </c>
      <c r="T203">
        <f ca="1">OFFSET(Ground!$A$2,Volume!Q203+1,0)</f>
        <v>6400</v>
      </c>
      <c r="U203">
        <f ca="1">OFFSET(Ground!$A$2,Volume!Q203+1,1)</f>
        <v>607.211926</v>
      </c>
      <c r="V203" s="26"/>
      <c r="W203">
        <f t="shared" si="53"/>
        <v>-35.26493690414519</v>
      </c>
      <c r="X203">
        <f>IF(Volume!W203&lt;'Temp Calcs'!$E$8,1,0)</f>
        <v>1</v>
      </c>
      <c r="Z203">
        <f t="shared" si="54"/>
        <v>33.510709710425644</v>
      </c>
      <c r="AA203">
        <f>IF(Volume!Z203&gt;'Temp Calcs'!$L$8,1,0)</f>
        <v>1</v>
      </c>
      <c r="AB203" s="6"/>
      <c r="AC203" s="5"/>
    </row>
    <row r="204" spans="1:29" ht="12.75">
      <c r="A204" s="1">
        <v>203</v>
      </c>
      <c r="B204" s="1"/>
      <c r="C204" s="31">
        <f aca="true" t="shared" si="60" ref="C204:C251">C203+($C$252-$C$202)/50</f>
        <v>6378.688000000001</v>
      </c>
      <c r="D204" s="8">
        <f aca="true" t="shared" si="61" ref="D204:D251">$D$202+($D$252-$D$202)*(C204-$C$202)/($C$252-$C$202)</f>
        <v>606.6518432784374</v>
      </c>
      <c r="E204" s="7">
        <f aca="true" t="shared" si="62" ref="E204:E251">E203</f>
        <v>3.8529299119111475</v>
      </c>
      <c r="F204" s="5"/>
      <c r="G204">
        <f t="shared" si="55"/>
        <v>606.5467486432</v>
      </c>
      <c r="H204" s="8">
        <f t="shared" si="56"/>
        <v>0.1050946352373785</v>
      </c>
      <c r="I204" s="30">
        <f>IF(H204&lt;1,(Data!$G$16+14+0.8*Data!$G$17+Data!$G$18*(1-H204))*(1-H204),(Data!$G$16+6+Data!$G$17*(H204-0.6))*(H204-0.6))</f>
        <v>25.943137145305144</v>
      </c>
      <c r="J204" s="28">
        <f t="shared" si="47"/>
        <v>117.52017051508318</v>
      </c>
      <c r="K204" t="str">
        <f t="shared" si="57"/>
        <v>Cut</v>
      </c>
      <c r="L204" s="28">
        <f t="shared" si="58"/>
        <v>117.52017051508318</v>
      </c>
      <c r="M204" s="28">
        <f t="shared" si="59"/>
        <v>0</v>
      </c>
      <c r="N204" s="28">
        <f>SUM($L$3:L204)</f>
        <v>67480.3583005688</v>
      </c>
      <c r="O204" s="28">
        <f>SUM($M$3:M204)</f>
        <v>75126.88094742374</v>
      </c>
      <c r="Q204">
        <f>MATCH(C204,Ground!$A$3:$A$1999,1)</f>
        <v>80</v>
      </c>
      <c r="R204">
        <f ca="1">OFFSET(Ground!$A$2,Volume!Q204,0)</f>
        <v>6370</v>
      </c>
      <c r="S204">
        <f ca="1">OFFSET(Ground!$A$2,Volume!Q204,1)</f>
        <v>606.275584</v>
      </c>
      <c r="T204">
        <f ca="1">OFFSET(Ground!$A$2,Volume!Q204+1,0)</f>
        <v>6400</v>
      </c>
      <c r="U204">
        <f ca="1">OFFSET(Ground!$A$2,Volume!Q204+1,1)</f>
        <v>607.211926</v>
      </c>
      <c r="V204" s="26"/>
      <c r="W204">
        <f t="shared" si="53"/>
        <v>-35.03757717396554</v>
      </c>
      <c r="X204">
        <f>IF(Volume!W204&lt;'Temp Calcs'!$E$8,1,0)</f>
        <v>1</v>
      </c>
      <c r="Z204">
        <f t="shared" si="54"/>
        <v>33.326186955518686</v>
      </c>
      <c r="AA204">
        <f>IF(Volume!Z204&gt;'Temp Calcs'!$L$8,1,0)</f>
        <v>1</v>
      </c>
      <c r="AB204" s="6"/>
      <c r="AC204" s="5"/>
    </row>
    <row r="205" spans="1:29" ht="12.75">
      <c r="A205" s="1">
        <v>204</v>
      </c>
      <c r="B205" s="1"/>
      <c r="C205" s="31">
        <f t="shared" si="60"/>
        <v>6383.132000000001</v>
      </c>
      <c r="D205" s="8">
        <f t="shared" si="61"/>
        <v>606.8230674837228</v>
      </c>
      <c r="E205" s="7">
        <f t="shared" si="62"/>
        <v>3.8529299119111475</v>
      </c>
      <c r="F205" s="5"/>
      <c r="G205">
        <f t="shared" si="55"/>
        <v>606.6854521048</v>
      </c>
      <c r="H205" s="8">
        <f t="shared" si="56"/>
        <v>0.1376153789227601</v>
      </c>
      <c r="I205" s="30">
        <f>IF(H205&lt;1,(Data!$G$16+14+0.8*Data!$G$17+Data!$G$18*(1-H205))*(1-H205),(Data!$G$16+6+Data!$G$17*(H205-0.6))*(H205-0.6))</f>
        <v>24.944276162641994</v>
      </c>
      <c r="J205" s="28">
        <f t="shared" si="47"/>
        <v>113.0718323702691</v>
      </c>
      <c r="K205" t="str">
        <f t="shared" si="57"/>
        <v>Cut</v>
      </c>
      <c r="L205" s="28">
        <f t="shared" si="58"/>
        <v>113.0718323702691</v>
      </c>
      <c r="M205" s="28">
        <f t="shared" si="59"/>
        <v>0</v>
      </c>
      <c r="N205" s="28">
        <f>SUM($L$3:L205)</f>
        <v>67593.43013293907</v>
      </c>
      <c r="O205" s="28">
        <f>SUM($M$3:M205)</f>
        <v>75126.88094742374</v>
      </c>
      <c r="Q205">
        <f>MATCH(C205,Ground!$A$3:$A$1999,1)</f>
        <v>80</v>
      </c>
      <c r="R205">
        <f ca="1">OFFSET(Ground!$A$2,Volume!Q205,0)</f>
        <v>6370</v>
      </c>
      <c r="S205">
        <f ca="1">OFFSET(Ground!$A$2,Volume!Q205,1)</f>
        <v>606.275584</v>
      </c>
      <c r="T205">
        <f ca="1">OFFSET(Ground!$A$2,Volume!Q205+1,0)</f>
        <v>6400</v>
      </c>
      <c r="U205">
        <f ca="1">OFFSET(Ground!$A$2,Volume!Q205+1,1)</f>
        <v>607.211926</v>
      </c>
      <c r="V205" s="26"/>
      <c r="W205">
        <f t="shared" si="53"/>
        <v>-34.8210566818134</v>
      </c>
      <c r="X205">
        <f>IF(Volume!W205&lt;'Temp Calcs'!$E$8,1,0)</f>
        <v>1</v>
      </c>
      <c r="Z205">
        <f t="shared" si="54"/>
        <v>33.1504612116758</v>
      </c>
      <c r="AA205">
        <f>IF(Volume!Z205&gt;'Temp Calcs'!$L$8,1,0)</f>
        <v>1</v>
      </c>
      <c r="AB205" s="6"/>
      <c r="AC205" s="5"/>
    </row>
    <row r="206" spans="1:29" ht="12.75">
      <c r="A206" s="1">
        <v>205</v>
      </c>
      <c r="B206" s="1"/>
      <c r="C206" s="31">
        <f t="shared" si="60"/>
        <v>6387.576000000002</v>
      </c>
      <c r="D206" s="8">
        <f t="shared" si="61"/>
        <v>606.994291689008</v>
      </c>
      <c r="E206" s="7">
        <f t="shared" si="62"/>
        <v>3.8529299119111475</v>
      </c>
      <c r="F206" s="5"/>
      <c r="G206">
        <f t="shared" si="55"/>
        <v>606.8241555664</v>
      </c>
      <c r="H206" s="8">
        <f t="shared" si="56"/>
        <v>0.17013612260802802</v>
      </c>
      <c r="I206" s="30">
        <f>IF(H206&lt;1,(Data!$G$16+14+0.8*Data!$G$17+Data!$G$18*(1-H206))*(1-H206),(Data!$G$16+6+Data!$G$17*(H206-0.6))*(H206-0.6))</f>
        <v>23.949645575061712</v>
      </c>
      <c r="J206" s="28">
        <f t="shared" si="47"/>
        <v>108.64229410118777</v>
      </c>
      <c r="K206" t="str">
        <f t="shared" si="57"/>
        <v>Cut</v>
      </c>
      <c r="L206" s="28">
        <f t="shared" si="58"/>
        <v>108.64229410118777</v>
      </c>
      <c r="M206" s="28">
        <f t="shared" si="59"/>
        <v>0</v>
      </c>
      <c r="N206" s="28">
        <f>SUM($L$3:L206)</f>
        <v>67702.07242704026</v>
      </c>
      <c r="O206" s="28">
        <f>SUM($M$3:M206)</f>
        <v>75126.88094742374</v>
      </c>
      <c r="Q206">
        <f>MATCH(C206,Ground!$A$3:$A$1999,1)</f>
        <v>80</v>
      </c>
      <c r="R206">
        <f ca="1">OFFSET(Ground!$A$2,Volume!Q206,0)</f>
        <v>6370</v>
      </c>
      <c r="S206">
        <f ca="1">OFFSET(Ground!$A$2,Volume!Q206,1)</f>
        <v>606.275584</v>
      </c>
      <c r="T206">
        <f ca="1">OFFSET(Ground!$A$2,Volume!Q206+1,0)</f>
        <v>6400</v>
      </c>
      <c r="U206">
        <f ca="1">OFFSET(Ground!$A$2,Volume!Q206+1,1)</f>
        <v>607.211926</v>
      </c>
      <c r="V206" s="26"/>
      <c r="W206">
        <f t="shared" si="53"/>
        <v>-34.61461834325714</v>
      </c>
      <c r="X206">
        <f>IF(Volume!W206&lt;'Temp Calcs'!$E$8,1,0)</f>
        <v>1</v>
      </c>
      <c r="Z206">
        <f t="shared" si="54"/>
        <v>32.98291803717117</v>
      </c>
      <c r="AA206">
        <f>IF(Volume!Z206&gt;'Temp Calcs'!$L$8,1,0)</f>
        <v>1</v>
      </c>
      <c r="AB206" s="6"/>
      <c r="AC206" s="5"/>
    </row>
    <row r="207" spans="1:29" ht="12.75">
      <c r="A207" s="1">
        <v>206</v>
      </c>
      <c r="B207" s="1"/>
      <c r="C207" s="31">
        <f t="shared" si="60"/>
        <v>6392.020000000002</v>
      </c>
      <c r="D207" s="8">
        <f t="shared" si="61"/>
        <v>607.1655158942934</v>
      </c>
      <c r="E207" s="7">
        <f t="shared" si="62"/>
        <v>3.8529299119111475</v>
      </c>
      <c r="F207" s="5"/>
      <c r="G207">
        <f t="shared" si="55"/>
        <v>606.962859028</v>
      </c>
      <c r="H207" s="8">
        <f t="shared" si="56"/>
        <v>0.20265686629340962</v>
      </c>
      <c r="I207" s="30">
        <f>IF(H207&lt;1,(Data!$G$16+14+0.8*Data!$G$17+Data!$G$18*(1-H207))*(1-H207),(Data!$G$16+6+Data!$G$17*(H207-0.6))*(H207-0.6))</f>
        <v>22.95924538255735</v>
      </c>
      <c r="J207" s="28">
        <f t="shared" si="47"/>
        <v>104.23155570783929</v>
      </c>
      <c r="K207" t="str">
        <f t="shared" si="57"/>
        <v>Cut</v>
      </c>
      <c r="L207" s="28">
        <f t="shared" si="58"/>
        <v>104.23155570783929</v>
      </c>
      <c r="M207" s="28">
        <f t="shared" si="59"/>
        <v>0</v>
      </c>
      <c r="N207" s="28">
        <f>SUM($L$3:L207)</f>
        <v>67806.3039827481</v>
      </c>
      <c r="O207" s="28">
        <f>SUM($M$3:M207)</f>
        <v>75126.88094742374</v>
      </c>
      <c r="Q207">
        <f>MATCH(C207,Ground!$A$3:$A$1999,1)</f>
        <v>80</v>
      </c>
      <c r="R207">
        <f ca="1">OFFSET(Ground!$A$2,Volume!Q207,0)</f>
        <v>6370</v>
      </c>
      <c r="S207">
        <f ca="1">OFFSET(Ground!$A$2,Volume!Q207,1)</f>
        <v>606.275584</v>
      </c>
      <c r="T207">
        <f ca="1">OFFSET(Ground!$A$2,Volume!Q207+1,0)</f>
        <v>6400</v>
      </c>
      <c r="U207">
        <f ca="1">OFFSET(Ground!$A$2,Volume!Q207+1,1)</f>
        <v>607.211926</v>
      </c>
      <c r="V207" s="26"/>
      <c r="W207">
        <f t="shared" si="53"/>
        <v>-34.41757397607886</v>
      </c>
      <c r="X207">
        <f>IF(Volume!W207&lt;'Temp Calcs'!$E$8,1,0)</f>
        <v>1</v>
      </c>
      <c r="Z207">
        <f t="shared" si="54"/>
        <v>32.8229989105874</v>
      </c>
      <c r="AA207">
        <f>IF(Volume!Z207&gt;'Temp Calcs'!$L$8,1,0)</f>
        <v>1</v>
      </c>
      <c r="AB207" s="6"/>
      <c r="AC207" s="5"/>
    </row>
    <row r="208" spans="1:29" ht="12.75">
      <c r="A208" s="1">
        <v>207</v>
      </c>
      <c r="B208" s="1"/>
      <c r="C208" s="31">
        <f t="shared" si="60"/>
        <v>6396.464000000003</v>
      </c>
      <c r="D208" s="8">
        <f t="shared" si="61"/>
        <v>607.3367400995787</v>
      </c>
      <c r="E208" s="7">
        <f t="shared" si="62"/>
        <v>3.8529299119111475</v>
      </c>
      <c r="F208" s="5"/>
      <c r="G208">
        <f t="shared" si="55"/>
        <v>607.1015624896</v>
      </c>
      <c r="H208" s="8">
        <f t="shared" si="56"/>
        <v>0.23517760997867754</v>
      </c>
      <c r="I208" s="30">
        <f>IF(H208&lt;1,(Data!$G$16+14+0.8*Data!$G$17+Data!$G$18*(1-H208))*(1-H208),(Data!$G$16+6+Data!$G$17*(H208-0.6))*(H208-0.6))</f>
        <v>21.973075585135827</v>
      </c>
      <c r="J208" s="28">
        <f t="shared" si="47"/>
        <v>99.83961719022355</v>
      </c>
      <c r="K208" t="str">
        <f t="shared" si="57"/>
        <v>Cut</v>
      </c>
      <c r="L208" s="28">
        <f t="shared" si="58"/>
        <v>99.83961719022355</v>
      </c>
      <c r="M208" s="28">
        <f t="shared" si="59"/>
        <v>0</v>
      </c>
      <c r="N208" s="28">
        <f>SUM($L$3:L208)</f>
        <v>67906.14359993832</v>
      </c>
      <c r="O208" s="28">
        <f>SUM($M$3:M208)</f>
        <v>75126.88094742374</v>
      </c>
      <c r="Q208">
        <f>MATCH(C208,Ground!$A$3:$A$1999,1)</f>
        <v>80</v>
      </c>
      <c r="R208">
        <f ca="1">OFFSET(Ground!$A$2,Volume!Q208,0)</f>
        <v>6370</v>
      </c>
      <c r="S208">
        <f ca="1">OFFSET(Ground!$A$2,Volume!Q208,1)</f>
        <v>606.275584</v>
      </c>
      <c r="T208">
        <f ca="1">OFFSET(Ground!$A$2,Volume!Q208+1,0)</f>
        <v>6400</v>
      </c>
      <c r="U208">
        <f ca="1">OFFSET(Ground!$A$2,Volume!Q208+1,1)</f>
        <v>607.211926</v>
      </c>
      <c r="V208" s="26"/>
      <c r="W208">
        <f t="shared" si="53"/>
        <v>-34.22929663617226</v>
      </c>
      <c r="X208">
        <f>IF(Volume!W208&lt;'Temp Calcs'!$E$8,1,0)</f>
        <v>1</v>
      </c>
      <c r="Z208">
        <f t="shared" si="54"/>
        <v>32.67019501071179</v>
      </c>
      <c r="AA208">
        <f>IF(Volume!Z208&gt;'Temp Calcs'!$L$8,1,0)</f>
        <v>1</v>
      </c>
      <c r="AB208" s="6"/>
      <c r="AC208" s="5"/>
    </row>
    <row r="209" spans="1:29" ht="12.75">
      <c r="A209" s="1">
        <v>208</v>
      </c>
      <c r="B209" s="1"/>
      <c r="C209" s="31">
        <f t="shared" si="60"/>
        <v>6400.908000000003</v>
      </c>
      <c r="D209" s="8">
        <f t="shared" si="61"/>
        <v>607.5079643048641</v>
      </c>
      <c r="E209" s="7">
        <f t="shared" si="62"/>
        <v>3.8529299119111475</v>
      </c>
      <c r="F209" s="5"/>
      <c r="G209">
        <f t="shared" si="55"/>
        <v>607.2397019016</v>
      </c>
      <c r="H209" s="8">
        <f t="shared" si="56"/>
        <v>0.2682624032640888</v>
      </c>
      <c r="I209" s="30">
        <f>IF(H209&lt;1,(Data!$G$16+14+0.8*Data!$G$17+Data!$G$18*(1-H209))*(1-H209),(Data!$G$16+6+Data!$G$17*(H209-0.6))*(H209-0.6))</f>
        <v>20.97414245217048</v>
      </c>
      <c r="J209" s="28">
        <f t="shared" si="47"/>
        <v>95.42871847890352</v>
      </c>
      <c r="K209" t="str">
        <f t="shared" si="57"/>
        <v>Cut</v>
      </c>
      <c r="L209" s="28">
        <f t="shared" si="58"/>
        <v>95.42871847890352</v>
      </c>
      <c r="M209" s="28">
        <f t="shared" si="59"/>
        <v>0</v>
      </c>
      <c r="N209" s="28">
        <f>SUM($L$3:L209)</f>
        <v>68001.57231841722</v>
      </c>
      <c r="O209" s="28">
        <f>SUM($M$3:M209)</f>
        <v>75126.88094742374</v>
      </c>
      <c r="Q209">
        <f>MATCH(C209,Ground!$A$3:$A$1999,1)</f>
        <v>81</v>
      </c>
      <c r="R209">
        <f ca="1">OFFSET(Ground!$A$2,Volume!Q209,0)</f>
        <v>6400</v>
      </c>
      <c r="S209">
        <f ca="1">OFFSET(Ground!$A$2,Volume!Q209,1)</f>
        <v>607.211926</v>
      </c>
      <c r="T209">
        <f ca="1">OFFSET(Ground!$A$2,Volume!Q209+1,0)</f>
        <v>6430</v>
      </c>
      <c r="U209">
        <f ca="1">OFFSET(Ground!$A$2,Volume!Q209+1,1)</f>
        <v>608.129632</v>
      </c>
      <c r="V209" s="26"/>
      <c r="W209">
        <f t="shared" si="53"/>
        <v>-34.049213954158766</v>
      </c>
      <c r="X209">
        <f>IF(Volume!W209&lt;'Temp Calcs'!$E$8,1,0)</f>
        <v>1</v>
      </c>
      <c r="Z209">
        <f t="shared" si="54"/>
        <v>32.52404180860374</v>
      </c>
      <c r="AA209">
        <f>IF(Volume!Z209&gt;'Temp Calcs'!$L$8,1,0)</f>
        <v>1</v>
      </c>
      <c r="AB209" s="6"/>
      <c r="AC209" s="5"/>
    </row>
    <row r="210" spans="1:29" ht="12.75">
      <c r="A210" s="1">
        <v>209</v>
      </c>
      <c r="B210" s="1"/>
      <c r="C210" s="31">
        <f t="shared" si="60"/>
        <v>6405.3520000000035</v>
      </c>
      <c r="D210" s="8">
        <f t="shared" si="61"/>
        <v>607.6791885101494</v>
      </c>
      <c r="E210" s="7">
        <f t="shared" si="62"/>
        <v>3.8529299119111475</v>
      </c>
      <c r="F210" s="5"/>
      <c r="G210">
        <f t="shared" si="55"/>
        <v>607.3756447504</v>
      </c>
      <c r="H210" s="8">
        <f t="shared" si="56"/>
        <v>0.30354375974934555</v>
      </c>
      <c r="I210" s="30">
        <f>IF(H210&lt;1,(Data!$G$16+14+0.8*Data!$G$17+Data!$G$18*(1-H210))*(1-H210),(Data!$G$16+6+Data!$G$17*(H210-0.6))*(H210-0.6))</f>
        <v>19.913712323985955</v>
      </c>
      <c r="J210" s="28">
        <f t="shared" si="47"/>
        <v>90.85281331262807</v>
      </c>
      <c r="K210" t="str">
        <f t="shared" si="57"/>
        <v>Cut</v>
      </c>
      <c r="L210" s="28">
        <f t="shared" si="58"/>
        <v>90.85281331262807</v>
      </c>
      <c r="M210" s="28">
        <f t="shared" si="59"/>
        <v>0</v>
      </c>
      <c r="N210" s="28">
        <f>SUM($L$3:L210)</f>
        <v>68092.42513172985</v>
      </c>
      <c r="O210" s="28">
        <f>SUM($M$3:M210)</f>
        <v>75126.88094742374</v>
      </c>
      <c r="Q210">
        <f>MATCH(C210,Ground!$A$3:$A$1999,1)</f>
        <v>81</v>
      </c>
      <c r="R210">
        <f ca="1">OFFSET(Ground!$A$2,Volume!Q210,0)</f>
        <v>6400</v>
      </c>
      <c r="S210">
        <f ca="1">OFFSET(Ground!$A$2,Volume!Q210,1)</f>
        <v>607.211926</v>
      </c>
      <c r="T210">
        <f ca="1">OFFSET(Ground!$A$2,Volume!Q210+1,0)</f>
        <v>6430</v>
      </c>
      <c r="U210">
        <f ca="1">OFFSET(Ground!$A$2,Volume!Q210+1,1)</f>
        <v>608.129632</v>
      </c>
      <c r="V210" s="26"/>
      <c r="W210">
        <f t="shared" si="53"/>
        <v>-33.876802323539685</v>
      </c>
      <c r="X210">
        <f>IF(Volume!W210&lt;'Temp Calcs'!$E$8,1,0)</f>
        <v>1</v>
      </c>
      <c r="Z210">
        <f t="shared" si="54"/>
        <v>32.38411435076108</v>
      </c>
      <c r="AA210">
        <f>IF(Volume!Z210&gt;'Temp Calcs'!$L$8,1,0)</f>
        <v>1</v>
      </c>
      <c r="AB210" s="6"/>
      <c r="AC210" s="5"/>
    </row>
    <row r="211" spans="1:29" ht="12.75">
      <c r="A211" s="1">
        <v>210</v>
      </c>
      <c r="B211" s="1"/>
      <c r="C211" s="31">
        <f t="shared" si="60"/>
        <v>6409.796000000004</v>
      </c>
      <c r="D211" s="8">
        <f t="shared" si="61"/>
        <v>607.8504127154348</v>
      </c>
      <c r="E211" s="7">
        <f t="shared" si="62"/>
        <v>3.8529299119111475</v>
      </c>
      <c r="F211" s="5"/>
      <c r="G211">
        <f t="shared" si="55"/>
        <v>607.5115875992001</v>
      </c>
      <c r="H211" s="8">
        <f t="shared" si="56"/>
        <v>0.338825116234716</v>
      </c>
      <c r="I211" s="30">
        <f>IF(H211&lt;1,(Data!$G$16+14+0.8*Data!$G$17+Data!$G$18*(1-H211))*(1-H211),(Data!$G$16+6+Data!$G$17*(H211-0.6))*(H211-0.6))</f>
        <v>18.858261292259797</v>
      </c>
      <c r="J211" s="28">
        <f t="shared" si="47"/>
        <v>86.1513253753061</v>
      </c>
      <c r="K211" t="str">
        <f t="shared" si="57"/>
        <v>Cut</v>
      </c>
      <c r="L211" s="28">
        <f t="shared" si="58"/>
        <v>86.1513253753061</v>
      </c>
      <c r="M211" s="28">
        <f t="shared" si="59"/>
        <v>0</v>
      </c>
      <c r="N211" s="28">
        <f>SUM($L$3:L211)</f>
        <v>68178.57645710515</v>
      </c>
      <c r="O211" s="28">
        <f>SUM($M$3:M211)</f>
        <v>75126.88094742374</v>
      </c>
      <c r="Q211">
        <f>MATCH(C211,Ground!$A$3:$A$1999,1)</f>
        <v>81</v>
      </c>
      <c r="R211">
        <f ca="1">OFFSET(Ground!$A$2,Volume!Q211,0)</f>
        <v>6400</v>
      </c>
      <c r="S211">
        <f ca="1">OFFSET(Ground!$A$2,Volume!Q211,1)</f>
        <v>607.211926</v>
      </c>
      <c r="T211">
        <f ca="1">OFFSET(Ground!$A$2,Volume!Q211+1,0)</f>
        <v>6430</v>
      </c>
      <c r="U211">
        <f ca="1">OFFSET(Ground!$A$2,Volume!Q211+1,1)</f>
        <v>608.129632</v>
      </c>
      <c r="V211" s="26"/>
      <c r="W211">
        <f t="shared" si="53"/>
        <v>-33.711581816060445</v>
      </c>
      <c r="X211">
        <f>IF(Volume!W211&lt;'Temp Calcs'!$E$8,1,0)</f>
        <v>1</v>
      </c>
      <c r="Z211">
        <f t="shared" si="54"/>
        <v>32.2500231324828</v>
      </c>
      <c r="AA211">
        <f>IF(Volume!Z211&gt;'Temp Calcs'!$L$8,1,0)</f>
        <v>1</v>
      </c>
      <c r="AB211" s="6"/>
      <c r="AC211" s="5"/>
    </row>
    <row r="212" spans="1:29" ht="12.75">
      <c r="A212" s="1">
        <v>211</v>
      </c>
      <c r="B212" s="1"/>
      <c r="C212" s="31">
        <f t="shared" si="60"/>
        <v>6414.240000000004</v>
      </c>
      <c r="D212" s="8">
        <f t="shared" si="61"/>
        <v>608.0216369207202</v>
      </c>
      <c r="E212" s="7">
        <f t="shared" si="62"/>
        <v>3.8529299119111475</v>
      </c>
      <c r="F212" s="5"/>
      <c r="G212">
        <f t="shared" si="55"/>
        <v>607.6475304480001</v>
      </c>
      <c r="H212" s="8">
        <f t="shared" si="56"/>
        <v>0.37410647272008646</v>
      </c>
      <c r="I212" s="30">
        <f>IF(H212&lt;1,(Data!$G$16+14+0.8*Data!$G$17+Data!$G$18*(1-H212))*(1-H212),(Data!$G$16+6+Data!$G$17*(H212-0.6))*(H212-0.6))</f>
        <v>17.807789356995432</v>
      </c>
      <c r="J212" s="28">
        <f t="shared" si="47"/>
        <v>81.47196454265271</v>
      </c>
      <c r="K212" t="str">
        <f t="shared" si="57"/>
        <v>Cut</v>
      </c>
      <c r="L212" s="28">
        <f t="shared" si="58"/>
        <v>81.47196454265271</v>
      </c>
      <c r="M212" s="28">
        <f t="shared" si="59"/>
        <v>0</v>
      </c>
      <c r="N212" s="28">
        <f>SUM($L$3:L212)</f>
        <v>68260.0484216478</v>
      </c>
      <c r="O212" s="28">
        <f>SUM($M$3:M212)</f>
        <v>75126.88094742374</v>
      </c>
      <c r="Q212">
        <f>MATCH(C212,Ground!$A$3:$A$1999,1)</f>
        <v>81</v>
      </c>
      <c r="R212">
        <f ca="1">OFFSET(Ground!$A$2,Volume!Q212,0)</f>
        <v>6400</v>
      </c>
      <c r="S212">
        <f ca="1">OFFSET(Ground!$A$2,Volume!Q212,1)</f>
        <v>607.211926</v>
      </c>
      <c r="T212">
        <f ca="1">OFFSET(Ground!$A$2,Volume!Q212+1,0)</f>
        <v>6430</v>
      </c>
      <c r="U212">
        <f ca="1">OFFSET(Ground!$A$2,Volume!Q212+1,1)</f>
        <v>608.129632</v>
      </c>
      <c r="V212" s="26"/>
      <c r="W212">
        <f t="shared" si="53"/>
        <v>-33.55311172031045</v>
      </c>
      <c r="X212">
        <f>IF(Volume!W212&lt;'Temp Calcs'!$E$8,1,0)</f>
        <v>1</v>
      </c>
      <c r="Z212">
        <f t="shared" si="54"/>
        <v>32.12141047704437</v>
      </c>
      <c r="AA212">
        <f>IF(Volume!Z212&gt;'Temp Calcs'!$L$8,1,0)</f>
        <v>1</v>
      </c>
      <c r="AB212" s="6"/>
      <c r="AC212" s="5"/>
    </row>
    <row r="213" spans="1:29" ht="12.75">
      <c r="A213" s="1">
        <v>212</v>
      </c>
      <c r="B213" s="1"/>
      <c r="C213" s="31">
        <f t="shared" si="60"/>
        <v>6418.684000000005</v>
      </c>
      <c r="D213" s="8">
        <f t="shared" si="61"/>
        <v>608.1928611260055</v>
      </c>
      <c r="E213" s="7">
        <f t="shared" si="62"/>
        <v>3.8529299119111475</v>
      </c>
      <c r="F213" s="5"/>
      <c r="G213">
        <f t="shared" si="55"/>
        <v>607.7834732968001</v>
      </c>
      <c r="H213" s="8">
        <f t="shared" si="56"/>
        <v>0.4093878292053432</v>
      </c>
      <c r="I213" s="30">
        <f>IF(H213&lt;1,(Data!$G$16+14+0.8*Data!$G$17+Data!$G$18*(1-H213))*(1-H213),(Data!$G$16+6+Data!$G$17*(H213-0.6))*(H213-0.6))</f>
        <v>16.762296518196216</v>
      </c>
      <c r="J213" s="28">
        <f t="shared" si="47"/>
        <v>76.81473081468302</v>
      </c>
      <c r="K213" t="str">
        <f t="shared" si="57"/>
        <v>Cut</v>
      </c>
      <c r="L213" s="28">
        <f t="shared" si="58"/>
        <v>76.81473081468302</v>
      </c>
      <c r="M213" s="28">
        <f t="shared" si="59"/>
        <v>0</v>
      </c>
      <c r="N213" s="28">
        <f>SUM($L$3:L213)</f>
        <v>68336.8631524625</v>
      </c>
      <c r="O213" s="28">
        <f>SUM($M$3:M213)</f>
        <v>75126.88094742374</v>
      </c>
      <c r="Q213">
        <f>MATCH(C213,Ground!$A$3:$A$1999,1)</f>
        <v>81</v>
      </c>
      <c r="R213">
        <f ca="1">OFFSET(Ground!$A$2,Volume!Q213,0)</f>
        <v>6400</v>
      </c>
      <c r="S213">
        <f ca="1">OFFSET(Ground!$A$2,Volume!Q213,1)</f>
        <v>607.211926</v>
      </c>
      <c r="T213">
        <f ca="1">OFFSET(Ground!$A$2,Volume!Q213+1,0)</f>
        <v>6430</v>
      </c>
      <c r="U213">
        <f ca="1">OFFSET(Ground!$A$2,Volume!Q213+1,1)</f>
        <v>608.129632</v>
      </c>
      <c r="V213" s="26"/>
      <c r="W213">
        <f t="shared" si="53"/>
        <v>-33.40098661620908</v>
      </c>
      <c r="X213">
        <f>IF(Volume!W213&lt;'Temp Calcs'!$E$8,1,0)</f>
        <v>1</v>
      </c>
      <c r="Z213">
        <f t="shared" si="54"/>
        <v>31.99794734979176</v>
      </c>
      <c r="AA213">
        <f>IF(Volume!Z213&gt;'Temp Calcs'!$L$8,1,0)</f>
        <v>1</v>
      </c>
      <c r="AB213" s="6"/>
      <c r="AC213" s="5"/>
    </row>
    <row r="214" spans="1:29" ht="12.75">
      <c r="A214" s="1">
        <v>213</v>
      </c>
      <c r="B214" s="1"/>
      <c r="C214" s="31">
        <f t="shared" si="60"/>
        <v>6423.128000000005</v>
      </c>
      <c r="D214" s="8">
        <f t="shared" si="61"/>
        <v>608.3640853312909</v>
      </c>
      <c r="E214" s="7">
        <f t="shared" si="62"/>
        <v>3.8529299119111475</v>
      </c>
      <c r="F214" s="5"/>
      <c r="G214">
        <f t="shared" si="55"/>
        <v>607.9194161456002</v>
      </c>
      <c r="H214" s="8">
        <f t="shared" si="56"/>
        <v>0.4446691856907137</v>
      </c>
      <c r="I214" s="30">
        <f>IF(H214&lt;1,(Data!$G$16+14+0.8*Data!$G$17+Data!$G$18*(1-H214))*(1-H214),(Data!$G$16+6+Data!$G$17*(H214-0.6))*(H214-0.6))</f>
        <v>15.721782775855418</v>
      </c>
      <c r="J214" s="28">
        <f t="shared" si="47"/>
        <v>72.17962419138946</v>
      </c>
      <c r="K214" t="str">
        <f t="shared" si="57"/>
        <v>Cut</v>
      </c>
      <c r="L214" s="28">
        <f t="shared" si="58"/>
        <v>72.17962419138946</v>
      </c>
      <c r="M214" s="28">
        <f t="shared" si="59"/>
        <v>0</v>
      </c>
      <c r="N214" s="28">
        <f>SUM($L$3:L214)</f>
        <v>68409.04277665388</v>
      </c>
      <c r="O214" s="28">
        <f>SUM($M$3:M214)</f>
        <v>75126.88094742374</v>
      </c>
      <c r="Q214">
        <f>MATCH(C214,Ground!$A$3:$A$1999,1)</f>
        <v>81</v>
      </c>
      <c r="R214">
        <f ca="1">OFFSET(Ground!$A$2,Volume!Q214,0)</f>
        <v>6400</v>
      </c>
      <c r="S214">
        <f ca="1">OFFSET(Ground!$A$2,Volume!Q214,1)</f>
        <v>607.211926</v>
      </c>
      <c r="T214">
        <f ca="1">OFFSET(Ground!$A$2,Volume!Q214+1,0)</f>
        <v>6430</v>
      </c>
      <c r="U214">
        <f ca="1">OFFSET(Ground!$A$2,Volume!Q214+1,1)</f>
        <v>608.129632</v>
      </c>
      <c r="V214" s="26"/>
      <c r="W214">
        <f t="shared" si="53"/>
        <v>-33.25483291175884</v>
      </c>
      <c r="X214">
        <f>IF(Volume!W214&lt;'Temp Calcs'!$E$8,1,0)</f>
        <v>1</v>
      </c>
      <c r="Z214">
        <f t="shared" si="54"/>
        <v>31.879330547406752</v>
      </c>
      <c r="AA214">
        <f>IF(Volume!Z214&gt;'Temp Calcs'!$L$8,1,0)</f>
        <v>1</v>
      </c>
      <c r="AB214" s="6"/>
      <c r="AC214" s="5"/>
    </row>
    <row r="215" spans="1:29" ht="12.75">
      <c r="A215" s="1">
        <v>214</v>
      </c>
      <c r="B215" s="1"/>
      <c r="C215" s="31">
        <f t="shared" si="60"/>
        <v>6427.572000000006</v>
      </c>
      <c r="D215" s="8">
        <f t="shared" si="61"/>
        <v>608.5353095365762</v>
      </c>
      <c r="E215" s="7">
        <f t="shared" si="62"/>
        <v>3.8529299119111475</v>
      </c>
      <c r="F215" s="5"/>
      <c r="G215">
        <f t="shared" si="55"/>
        <v>608.0553589944002</v>
      </c>
      <c r="H215" s="8">
        <f t="shared" si="56"/>
        <v>0.47995054217597044</v>
      </c>
      <c r="I215" s="30">
        <f>IF(H215&lt;1,(Data!$G$16+14+0.8*Data!$G$17+Data!$G$18*(1-H215))*(1-H215),(Data!$G$16+6+Data!$G$17*(H215-0.6))*(H215-0.6))</f>
        <v>14.686248129979738</v>
      </c>
      <c r="J215" s="28">
        <f t="shared" si="47"/>
        <v>67.56664467277201</v>
      </c>
      <c r="K215" t="str">
        <f t="shared" si="57"/>
        <v>Cut</v>
      </c>
      <c r="L215" s="28">
        <f t="shared" si="58"/>
        <v>67.56664467277201</v>
      </c>
      <c r="M215" s="28">
        <f t="shared" si="59"/>
        <v>0</v>
      </c>
      <c r="N215" s="28">
        <f>SUM($L$3:L215)</f>
        <v>68476.60942132665</v>
      </c>
      <c r="O215" s="28">
        <f>SUM($M$3:M215)</f>
        <v>75126.88094742374</v>
      </c>
      <c r="Q215">
        <f>MATCH(C215,Ground!$A$3:$A$1999,1)</f>
        <v>81</v>
      </c>
      <c r="R215">
        <f ca="1">OFFSET(Ground!$A$2,Volume!Q215,0)</f>
        <v>6400</v>
      </c>
      <c r="S215">
        <f ca="1">OFFSET(Ground!$A$2,Volume!Q215,1)</f>
        <v>607.211926</v>
      </c>
      <c r="T215">
        <f ca="1">OFFSET(Ground!$A$2,Volume!Q215+1,0)</f>
        <v>6430</v>
      </c>
      <c r="U215">
        <f ca="1">OFFSET(Ground!$A$2,Volume!Q215+1,1)</f>
        <v>608.129632</v>
      </c>
      <c r="V215" s="26"/>
      <c r="W215">
        <f t="shared" si="53"/>
        <v>-33.11430577978322</v>
      </c>
      <c r="X215">
        <f>IF(Volume!W215&lt;'Temp Calcs'!$E$8,1,0)</f>
        <v>1</v>
      </c>
      <c r="Z215">
        <f t="shared" si="54"/>
        <v>31.765280211796206</v>
      </c>
      <c r="AA215">
        <f>IF(Volume!Z215&gt;'Temp Calcs'!$L$8,1,0)</f>
        <v>1</v>
      </c>
      <c r="AB215" s="6"/>
      <c r="AC215" s="5"/>
    </row>
    <row r="216" spans="1:29" ht="12.75">
      <c r="A216" s="1">
        <v>215</v>
      </c>
      <c r="B216" s="1"/>
      <c r="C216" s="31">
        <f t="shared" si="60"/>
        <v>6432.016000000006</v>
      </c>
      <c r="D216" s="8">
        <f t="shared" si="61"/>
        <v>608.7065337418616</v>
      </c>
      <c r="E216" s="7">
        <f t="shared" si="62"/>
        <v>3.8529299119111475</v>
      </c>
      <c r="F216" s="5"/>
      <c r="G216">
        <f t="shared" si="55"/>
        <v>608.2022422048002</v>
      </c>
      <c r="H216" s="8">
        <f t="shared" si="56"/>
        <v>0.5042915370613628</v>
      </c>
      <c r="I216" s="30">
        <f>IF(H216&lt;1,(Data!$G$16+14+0.8*Data!$G$17+Data!$G$18*(1-H216))*(1-H216),(Data!$G$16+6+Data!$G$17*(H216-0.6))*(H216-0.6))</f>
        <v>13.974723952388905</v>
      </c>
      <c r="J216" s="28">
        <f t="shared" si="47"/>
        <v>63.68467996702907</v>
      </c>
      <c r="K216" t="str">
        <f t="shared" si="57"/>
        <v>Fill</v>
      </c>
      <c r="L216" s="28">
        <f t="shared" si="58"/>
        <v>0</v>
      </c>
      <c r="M216" s="28">
        <f t="shared" si="59"/>
        <v>63.68467996702907</v>
      </c>
      <c r="N216" s="28">
        <f>SUM($L$3:L216)</f>
        <v>68476.60942132665</v>
      </c>
      <c r="O216" s="28">
        <f>SUM($M$3:M216)</f>
        <v>75190.56562739077</v>
      </c>
      <c r="Q216">
        <f>MATCH(C216,Ground!$A$3:$A$1999,1)</f>
        <v>82</v>
      </c>
      <c r="R216">
        <f ca="1">OFFSET(Ground!$A$2,Volume!Q216,0)</f>
        <v>6430</v>
      </c>
      <c r="S216">
        <f ca="1">OFFSET(Ground!$A$2,Volume!Q216,1)</f>
        <v>608.129632</v>
      </c>
      <c r="T216">
        <f ca="1">OFFSET(Ground!$A$2,Volume!Q216+1,0)</f>
        <v>6460</v>
      </c>
      <c r="U216">
        <f ca="1">OFFSET(Ground!$A$2,Volume!Q216+1,1)</f>
        <v>609.210141</v>
      </c>
      <c r="V216" s="26"/>
      <c r="W216">
        <f t="shared" si="53"/>
        <v>-32.97908644176211</v>
      </c>
      <c r="X216">
        <f>IF(Volume!W216&lt;'Temp Calcs'!$E$8,1,0)</f>
        <v>1</v>
      </c>
      <c r="Z216">
        <f t="shared" si="54"/>
        <v>31.65553762568103</v>
      </c>
      <c r="AA216">
        <f>IF(Volume!Z216&gt;'Temp Calcs'!$L$8,1,0)</f>
        <v>1</v>
      </c>
      <c r="AB216" s="6"/>
      <c r="AC216" s="5"/>
    </row>
    <row r="217" spans="1:29" ht="12.75">
      <c r="A217" s="1">
        <v>216</v>
      </c>
      <c r="B217" s="1"/>
      <c r="C217" s="31">
        <f t="shared" si="60"/>
        <v>6436.460000000006</v>
      </c>
      <c r="D217" s="8">
        <f t="shared" si="61"/>
        <v>608.8777579471468</v>
      </c>
      <c r="E217" s="7">
        <f t="shared" si="62"/>
        <v>3.8529299119111475</v>
      </c>
      <c r="F217" s="5"/>
      <c r="G217">
        <f t="shared" si="55"/>
        <v>608.3623016046669</v>
      </c>
      <c r="H217" s="8">
        <f t="shared" si="56"/>
        <v>0.515456342479979</v>
      </c>
      <c r="I217" s="30">
        <f>IF(H217&lt;1,(Data!$G$16+14+0.8*Data!$G$17+Data!$G$18*(1-H217))*(1-H217),(Data!$G$16+6+Data!$G$17*(H217-0.6))*(H217-0.6))</f>
        <v>13.649152596630332</v>
      </c>
      <c r="J217" s="28">
        <f t="shared" si="47"/>
        <v>61.38025369192647</v>
      </c>
      <c r="K217" t="str">
        <f t="shared" si="57"/>
        <v>Fill</v>
      </c>
      <c r="L217" s="28">
        <f t="shared" si="58"/>
        <v>0</v>
      </c>
      <c r="M217" s="28">
        <f t="shared" si="59"/>
        <v>61.38025369192647</v>
      </c>
      <c r="N217" s="28">
        <f>SUM($L$3:L217)</f>
        <v>68476.60942132665</v>
      </c>
      <c r="O217" s="28">
        <f>SUM($M$3:M217)</f>
        <v>75251.94588108269</v>
      </c>
      <c r="Q217">
        <f>MATCH(C217,Ground!$A$3:$A$1999,1)</f>
        <v>82</v>
      </c>
      <c r="R217">
        <f ca="1">OFFSET(Ground!$A$2,Volume!Q217,0)</f>
        <v>6430</v>
      </c>
      <c r="S217">
        <f ca="1">OFFSET(Ground!$A$2,Volume!Q217,1)</f>
        <v>608.129632</v>
      </c>
      <c r="T217">
        <f ca="1">OFFSET(Ground!$A$2,Volume!Q217+1,0)</f>
        <v>6460</v>
      </c>
      <c r="U217">
        <f ca="1">OFFSET(Ground!$A$2,Volume!Q217+1,1)</f>
        <v>609.210141</v>
      </c>
      <c r="V217" s="26"/>
      <c r="W217">
        <f t="shared" si="53"/>
        <v>-32.84887975374248</v>
      </c>
      <c r="X217">
        <f>IF(Volume!W217&lt;'Temp Calcs'!$E$8,1,0)</f>
        <v>1</v>
      </c>
      <c r="Z217">
        <f t="shared" si="54"/>
        <v>31.54986325334735</v>
      </c>
      <c r="AA217">
        <f>IF(Volume!Z217&gt;'Temp Calcs'!$L$8,1,0)</f>
        <v>1</v>
      </c>
      <c r="AB217" s="6"/>
      <c r="AC217" s="5"/>
    </row>
    <row r="218" spans="1:29" ht="12.75">
      <c r="A218" s="1">
        <v>217</v>
      </c>
      <c r="B218" s="1"/>
      <c r="C218" s="31">
        <f t="shared" si="60"/>
        <v>6440.904000000007</v>
      </c>
      <c r="D218" s="8">
        <f t="shared" si="61"/>
        <v>609.0489821524322</v>
      </c>
      <c r="E218" s="7">
        <f t="shared" si="62"/>
        <v>3.8529299119111475</v>
      </c>
      <c r="F218" s="5"/>
      <c r="G218">
        <f t="shared" si="55"/>
        <v>608.5223610045336</v>
      </c>
      <c r="H218" s="8">
        <f t="shared" si="56"/>
        <v>0.5266211478985952</v>
      </c>
      <c r="I218" s="30">
        <f>IF(H218&lt;1,(Data!$G$16+14+0.8*Data!$G$17+Data!$G$18*(1-H218))*(1-H218),(Data!$G$16+6+Data!$G$17*(H218-0.6))*(H218-0.6))</f>
        <v>13.324079852391899</v>
      </c>
      <c r="J218" s="28">
        <f t="shared" si="47"/>
        <v>59.93452250173299</v>
      </c>
      <c r="K218" t="str">
        <f t="shared" si="57"/>
        <v>Fill</v>
      </c>
      <c r="L218" s="28">
        <f t="shared" si="58"/>
        <v>0</v>
      </c>
      <c r="M218" s="28">
        <f t="shared" si="59"/>
        <v>59.93452250173299</v>
      </c>
      <c r="N218" s="28">
        <f>SUM($L$3:L218)</f>
        <v>68476.60942132665</v>
      </c>
      <c r="O218" s="28">
        <f>SUM($M$3:M218)</f>
        <v>75311.88040358442</v>
      </c>
      <c r="Q218">
        <f>MATCH(C218,Ground!$A$3:$A$1999,1)</f>
        <v>82</v>
      </c>
      <c r="R218">
        <f ca="1">OFFSET(Ground!$A$2,Volume!Q218,0)</f>
        <v>6430</v>
      </c>
      <c r="S218">
        <f ca="1">OFFSET(Ground!$A$2,Volume!Q218,1)</f>
        <v>608.129632</v>
      </c>
      <c r="T218">
        <f ca="1">OFFSET(Ground!$A$2,Volume!Q218+1,0)</f>
        <v>6460</v>
      </c>
      <c r="U218">
        <f ca="1">OFFSET(Ground!$A$2,Volume!Q218+1,1)</f>
        <v>609.210141</v>
      </c>
      <c r="V218" s="26"/>
      <c r="W218">
        <f t="shared" si="53"/>
        <v>-32.72341205583165</v>
      </c>
      <c r="X218">
        <f>IF(Volume!W218&lt;'Temp Calcs'!$E$8,1,0)</f>
        <v>1</v>
      </c>
      <c r="Z218">
        <f t="shared" si="54"/>
        <v>31.44803499531741</v>
      </c>
      <c r="AA218">
        <f>IF(Volume!Z218&gt;'Temp Calcs'!$L$8,1,0)</f>
        <v>1</v>
      </c>
      <c r="AB218" s="6"/>
      <c r="AC218" s="5"/>
    </row>
    <row r="219" spans="1:29" ht="12.75">
      <c r="A219" s="1">
        <v>218</v>
      </c>
      <c r="B219" s="1"/>
      <c r="C219" s="31">
        <f t="shared" si="60"/>
        <v>6445.348000000007</v>
      </c>
      <c r="D219" s="8">
        <f t="shared" si="61"/>
        <v>609.2202063577176</v>
      </c>
      <c r="E219" s="7">
        <f t="shared" si="62"/>
        <v>3.8529299119111475</v>
      </c>
      <c r="F219" s="5"/>
      <c r="G219">
        <f t="shared" si="55"/>
        <v>608.6824204044003</v>
      </c>
      <c r="H219" s="8">
        <f t="shared" si="56"/>
        <v>0.537785953317325</v>
      </c>
      <c r="I219" s="30">
        <f>IF(H219&lt;1,(Data!$G$16+14+0.8*Data!$G$17+Data!$G$18*(1-H219))*(1-H219),(Data!$G$16+6+Data!$G$17*(H219-0.6))*(H219-0.6))</f>
        <v>12.999505719670307</v>
      </c>
      <c r="J219" s="28">
        <f t="shared" si="47"/>
        <v>58.49100714112768</v>
      </c>
      <c r="K219" t="str">
        <f t="shared" si="57"/>
        <v>Fill</v>
      </c>
      <c r="L219" s="28">
        <f t="shared" si="58"/>
        <v>0</v>
      </c>
      <c r="M219" s="28">
        <f t="shared" si="59"/>
        <v>58.49100714112768</v>
      </c>
      <c r="N219" s="28">
        <f>SUM($L$3:L219)</f>
        <v>68476.60942132665</v>
      </c>
      <c r="O219" s="28">
        <f>SUM($M$3:M219)</f>
        <v>75370.37141072555</v>
      </c>
      <c r="Q219">
        <f>MATCH(C219,Ground!$A$3:$A$1999,1)</f>
        <v>82</v>
      </c>
      <c r="R219">
        <f ca="1">OFFSET(Ground!$A$2,Volume!Q219,0)</f>
        <v>6430</v>
      </c>
      <c r="S219">
        <f ca="1">OFFSET(Ground!$A$2,Volume!Q219,1)</f>
        <v>608.129632</v>
      </c>
      <c r="T219">
        <f ca="1">OFFSET(Ground!$A$2,Volume!Q219+1,0)</f>
        <v>6460</v>
      </c>
      <c r="U219">
        <f ca="1">OFFSET(Ground!$A$2,Volume!Q219+1,1)</f>
        <v>609.210141</v>
      </c>
      <c r="V219" s="26"/>
      <c r="W219">
        <f t="shared" si="53"/>
        <v>-32.6024292523086</v>
      </c>
      <c r="X219">
        <f>IF(Volume!W219&lt;'Temp Calcs'!$E$8,1,0)</f>
        <v>1</v>
      </c>
      <c r="Z219">
        <f t="shared" si="54"/>
        <v>31.349846630188676</v>
      </c>
      <c r="AA219">
        <f>IF(Volume!Z219&gt;'Temp Calcs'!$L$8,1,0)</f>
        <v>1</v>
      </c>
      <c r="AB219" s="6"/>
      <c r="AC219" s="5"/>
    </row>
    <row r="220" spans="1:29" ht="12.75">
      <c r="A220" s="1">
        <v>219</v>
      </c>
      <c r="B220" s="1"/>
      <c r="C220" s="31">
        <f t="shared" si="60"/>
        <v>6449.792000000008</v>
      </c>
      <c r="D220" s="8">
        <f t="shared" si="61"/>
        <v>609.3914305630029</v>
      </c>
      <c r="E220" s="7">
        <f t="shared" si="62"/>
        <v>3.8529299119111475</v>
      </c>
      <c r="F220" s="5"/>
      <c r="G220">
        <f t="shared" si="55"/>
        <v>608.842479804267</v>
      </c>
      <c r="H220" s="8">
        <f t="shared" si="56"/>
        <v>0.5489507587359412</v>
      </c>
      <c r="I220" s="30">
        <f>IF(H220&lt;1,(Data!$G$16+14+0.8*Data!$G$17+Data!$G$18*(1-H220))*(1-H220),(Data!$G$16+6+Data!$G$17*(H220-0.6))*(H220-0.6))</f>
        <v>12.675430198472164</v>
      </c>
      <c r="J220" s="28">
        <f t="shared" si="47"/>
        <v>57.04970761011789</v>
      </c>
      <c r="K220" t="str">
        <f t="shared" si="57"/>
        <v>Fill</v>
      </c>
      <c r="L220" s="28">
        <f t="shared" si="58"/>
        <v>0</v>
      </c>
      <c r="M220" s="28">
        <f t="shared" si="59"/>
        <v>57.04970761011789</v>
      </c>
      <c r="N220" s="28">
        <f>SUM($L$3:L220)</f>
        <v>68476.60942132665</v>
      </c>
      <c r="O220" s="28">
        <f>SUM($M$3:M220)</f>
        <v>75427.42111833567</v>
      </c>
      <c r="Q220">
        <f>MATCH(C220,Ground!$A$3:$A$1999,1)</f>
        <v>82</v>
      </c>
      <c r="R220">
        <f ca="1">OFFSET(Ground!$A$2,Volume!Q220,0)</f>
        <v>6430</v>
      </c>
      <c r="S220">
        <f ca="1">OFFSET(Ground!$A$2,Volume!Q220,1)</f>
        <v>608.129632</v>
      </c>
      <c r="T220">
        <f ca="1">OFFSET(Ground!$A$2,Volume!Q220+1,0)</f>
        <v>6460</v>
      </c>
      <c r="U220">
        <f ca="1">OFFSET(Ground!$A$2,Volume!Q220+1,1)</f>
        <v>609.210141</v>
      </c>
      <c r="V220" s="26"/>
      <c r="W220">
        <f t="shared" si="53"/>
        <v>-32.48569509399807</v>
      </c>
      <c r="X220">
        <f>IF(Volume!W220&lt;'Temp Calcs'!$E$8,1,0)</f>
        <v>1</v>
      </c>
      <c r="Z220">
        <f t="shared" si="54"/>
        <v>31.255106420626575</v>
      </c>
      <c r="AA220">
        <f>IF(Volume!Z220&gt;'Temp Calcs'!$L$8,1,0)</f>
        <v>1</v>
      </c>
      <c r="AB220" s="6"/>
      <c r="AC220" s="5"/>
    </row>
    <row r="221" spans="1:29" ht="12.75">
      <c r="A221" s="1">
        <v>220</v>
      </c>
      <c r="B221" s="1"/>
      <c r="C221" s="31">
        <f t="shared" si="60"/>
        <v>6454.236000000008</v>
      </c>
      <c r="D221" s="8">
        <f t="shared" si="61"/>
        <v>609.5626547682883</v>
      </c>
      <c r="E221" s="7">
        <f t="shared" si="62"/>
        <v>3.8529299119111475</v>
      </c>
      <c r="F221" s="5"/>
      <c r="G221">
        <f t="shared" si="55"/>
        <v>609.0025392041337</v>
      </c>
      <c r="H221" s="8">
        <f t="shared" si="56"/>
        <v>0.5601155641546711</v>
      </c>
      <c r="I221" s="30">
        <f>IF(H221&lt;1,(Data!$G$16+14+0.8*Data!$G$17+Data!$G$18*(1-H221))*(1-H221),(Data!$G$16+6+Data!$G$17*(H221-0.6))*(H221-0.6))</f>
        <v>12.351853288790872</v>
      </c>
      <c r="J221" s="28">
        <f t="shared" si="47"/>
        <v>55.61062390870365</v>
      </c>
      <c r="K221" t="str">
        <f t="shared" si="57"/>
        <v>Fill</v>
      </c>
      <c r="L221" s="28">
        <f t="shared" si="58"/>
        <v>0</v>
      </c>
      <c r="M221" s="28">
        <f t="shared" si="59"/>
        <v>55.61062390870365</v>
      </c>
      <c r="N221" s="28">
        <f>SUM($L$3:L221)</f>
        <v>68476.60942132665</v>
      </c>
      <c r="O221" s="28">
        <f>SUM($M$3:M221)</f>
        <v>75483.03174224438</v>
      </c>
      <c r="Q221">
        <f>MATCH(C221,Ground!$A$3:$A$1999,1)</f>
        <v>82</v>
      </c>
      <c r="R221">
        <f ca="1">OFFSET(Ground!$A$2,Volume!Q221,0)</f>
        <v>6430</v>
      </c>
      <c r="S221">
        <f ca="1">OFFSET(Ground!$A$2,Volume!Q221,1)</f>
        <v>608.129632</v>
      </c>
      <c r="T221">
        <f ca="1">OFFSET(Ground!$A$2,Volume!Q221+1,0)</f>
        <v>6460</v>
      </c>
      <c r="U221">
        <f ca="1">OFFSET(Ground!$A$2,Volume!Q221+1,1)</f>
        <v>609.210141</v>
      </c>
      <c r="V221" s="26"/>
      <c r="W221">
        <f t="shared" si="53"/>
        <v>-32.372989638479524</v>
      </c>
      <c r="X221">
        <f>IF(Volume!W221&lt;'Temp Calcs'!$E$8,1,0)</f>
        <v>1</v>
      </c>
      <c r="Z221">
        <f t="shared" si="54"/>
        <v>31.16363586368625</v>
      </c>
      <c r="AA221">
        <f>IF(Volume!Z221&gt;'Temp Calcs'!$L$8,1,0)</f>
        <v>1</v>
      </c>
      <c r="AB221" s="6"/>
      <c r="AC221" s="5"/>
    </row>
    <row r="222" spans="1:29" ht="12.75">
      <c r="A222" s="1">
        <v>221</v>
      </c>
      <c r="B222" s="1"/>
      <c r="C222" s="31">
        <f t="shared" si="60"/>
        <v>6458.6800000000085</v>
      </c>
      <c r="D222" s="8">
        <f t="shared" si="61"/>
        <v>609.7338789735736</v>
      </c>
      <c r="E222" s="7">
        <f t="shared" si="62"/>
        <v>3.8529299119111475</v>
      </c>
      <c r="F222" s="5"/>
      <c r="G222">
        <f t="shared" si="55"/>
        <v>609.1625986040003</v>
      </c>
      <c r="H222" s="8">
        <f t="shared" si="56"/>
        <v>0.5712803695732873</v>
      </c>
      <c r="I222" s="30">
        <f>IF(H222&lt;1,(Data!$G$16+14+0.8*Data!$G$17+Data!$G$18*(1-H222))*(1-H222),(Data!$G$16+6+Data!$G$17*(H222-0.6))*(H222-0.6))</f>
        <v>12.02877499063302</v>
      </c>
      <c r="J222" s="28">
        <f t="shared" si="47"/>
        <v>54.173756036884946</v>
      </c>
      <c r="K222" t="str">
        <f t="shared" si="57"/>
        <v>Fill</v>
      </c>
      <c r="L222" s="28">
        <f t="shared" si="58"/>
        <v>0</v>
      </c>
      <c r="M222" s="28">
        <f t="shared" si="59"/>
        <v>54.173756036884946</v>
      </c>
      <c r="N222" s="28">
        <f>SUM($L$3:L222)</f>
        <v>68476.60942132665</v>
      </c>
      <c r="O222" s="28">
        <f>SUM($M$3:M222)</f>
        <v>75537.20549828126</v>
      </c>
      <c r="Q222">
        <f>MATCH(C222,Ground!$A$3:$A$1999,1)</f>
        <v>82</v>
      </c>
      <c r="R222">
        <f ca="1">OFFSET(Ground!$A$2,Volume!Q222,0)</f>
        <v>6430</v>
      </c>
      <c r="S222">
        <f ca="1">OFFSET(Ground!$A$2,Volume!Q222,1)</f>
        <v>608.129632</v>
      </c>
      <c r="T222">
        <f ca="1">OFFSET(Ground!$A$2,Volume!Q222+1,0)</f>
        <v>6460</v>
      </c>
      <c r="U222">
        <f ca="1">OFFSET(Ground!$A$2,Volume!Q222+1,1)</f>
        <v>609.210141</v>
      </c>
      <c r="V222" s="26"/>
      <c r="W222">
        <f t="shared" si="53"/>
        <v>-32.26410786701839</v>
      </c>
      <c r="X222">
        <f>IF(Volume!W222&lt;'Temp Calcs'!$E$8,1,0)</f>
        <v>1</v>
      </c>
      <c r="Z222">
        <f t="shared" si="54"/>
        <v>31.075268568328884</v>
      </c>
      <c r="AA222">
        <f>IF(Volume!Z222&gt;'Temp Calcs'!$L$8,1,0)</f>
        <v>1</v>
      </c>
      <c r="AB222" s="6"/>
      <c r="AC222" s="5"/>
    </row>
    <row r="223" spans="1:29" ht="12.75">
      <c r="A223" s="1">
        <v>222</v>
      </c>
      <c r="B223" s="1"/>
      <c r="C223" s="31">
        <f t="shared" si="60"/>
        <v>6463.124000000009</v>
      </c>
      <c r="D223" s="8">
        <f t="shared" si="61"/>
        <v>609.905103178859</v>
      </c>
      <c r="E223" s="7">
        <f t="shared" si="62"/>
        <v>3.8529299119111475</v>
      </c>
      <c r="F223" s="5"/>
      <c r="G223">
        <f t="shared" si="55"/>
        <v>609.3139547481336</v>
      </c>
      <c r="H223" s="8">
        <f t="shared" si="56"/>
        <v>0.5911484307254113</v>
      </c>
      <c r="I223" s="30">
        <f>IF(H223&lt;1,(Data!$G$16+14+0.8*Data!$G$17+Data!$G$18*(1-H223))*(1-H223),(Data!$G$16+6+Data!$G$17*(H223-0.6))*(H223-0.6))</f>
        <v>11.4550818956654</v>
      </c>
      <c r="J223" s="28">
        <f t="shared" si="47"/>
        <v>52.18113000135995</v>
      </c>
      <c r="K223" t="str">
        <f t="shared" si="57"/>
        <v>Fill</v>
      </c>
      <c r="L223" s="28">
        <f t="shared" si="58"/>
        <v>0</v>
      </c>
      <c r="M223" s="28">
        <f t="shared" si="59"/>
        <v>52.18113000135995</v>
      </c>
      <c r="N223" s="28">
        <f>SUM($L$3:L223)</f>
        <v>68476.60942132665</v>
      </c>
      <c r="O223" s="28">
        <f>SUM($M$3:M223)</f>
        <v>75589.38662828262</v>
      </c>
      <c r="Q223">
        <f>MATCH(C223,Ground!$A$3:$A$1999,1)</f>
        <v>83</v>
      </c>
      <c r="R223">
        <f ca="1">OFFSET(Ground!$A$2,Volume!Q223,0)</f>
        <v>6460</v>
      </c>
      <c r="S223">
        <f ca="1">OFFSET(Ground!$A$2,Volume!Q223,1)</f>
        <v>609.210141</v>
      </c>
      <c r="T223">
        <f ca="1">OFFSET(Ground!$A$2,Volume!Q223+1,0)</f>
        <v>6490</v>
      </c>
      <c r="U223">
        <f ca="1">OFFSET(Ground!$A$2,Volume!Q223+1,1)</f>
        <v>610.207072</v>
      </c>
      <c r="V223" s="26"/>
      <c r="W223">
        <f t="shared" si="53"/>
        <v>-32.15885843991109</v>
      </c>
      <c r="X223">
        <f>IF(Volume!W223&lt;'Temp Calcs'!$E$8,1,0)</f>
        <v>1</v>
      </c>
      <c r="Z223">
        <f t="shared" si="54"/>
        <v>30.98984924527251</v>
      </c>
      <c r="AA223">
        <f>IF(Volume!Z223&gt;'Temp Calcs'!$L$8,1,0)</f>
        <v>1</v>
      </c>
      <c r="AB223" s="6"/>
      <c r="AC223" s="5"/>
    </row>
    <row r="224" spans="1:29" ht="12.75">
      <c r="A224" s="1">
        <v>223</v>
      </c>
      <c r="B224" s="1"/>
      <c r="C224" s="31">
        <f t="shared" si="60"/>
        <v>6467.568000000009</v>
      </c>
      <c r="D224" s="8">
        <f t="shared" si="61"/>
        <v>610.0763273841443</v>
      </c>
      <c r="E224" s="7">
        <f t="shared" si="62"/>
        <v>3.8529299119111475</v>
      </c>
      <c r="F224" s="5"/>
      <c r="G224">
        <f t="shared" si="55"/>
        <v>609.461633460267</v>
      </c>
      <c r="H224" s="8">
        <f t="shared" si="56"/>
        <v>0.6146939238773257</v>
      </c>
      <c r="I224" s="30">
        <f>IF(H224&lt;1,(Data!$G$16+14+0.8*Data!$G$17+Data!$G$18*(1-H224))*(1-H224),(Data!$G$16+6+Data!$G$17*(H224-0.6))*(H224-0.6))</f>
        <v>10.777246815130844</v>
      </c>
      <c r="J224" s="28">
        <f t="shared" si="47"/>
        <v>49.400234395393866</v>
      </c>
      <c r="K224" t="str">
        <f t="shared" si="57"/>
        <v>Fill</v>
      </c>
      <c r="L224" s="28">
        <f t="shared" si="58"/>
        <v>0</v>
      </c>
      <c r="M224" s="28">
        <f t="shared" si="59"/>
        <v>49.400234395393866</v>
      </c>
      <c r="N224" s="28">
        <f>SUM($L$3:L224)</f>
        <v>68476.60942132665</v>
      </c>
      <c r="O224" s="28">
        <f>SUM($M$3:M224)</f>
        <v>75638.78686267801</v>
      </c>
      <c r="Q224">
        <f>MATCH(C224,Ground!$A$3:$A$1999,1)</f>
        <v>83</v>
      </c>
      <c r="R224">
        <f ca="1">OFFSET(Ground!$A$2,Volume!Q224,0)</f>
        <v>6460</v>
      </c>
      <c r="S224">
        <f ca="1">OFFSET(Ground!$A$2,Volume!Q224,1)</f>
        <v>609.210141</v>
      </c>
      <c r="T224">
        <f ca="1">OFFSET(Ground!$A$2,Volume!Q224+1,0)</f>
        <v>6490</v>
      </c>
      <c r="U224">
        <f ca="1">OFFSET(Ground!$A$2,Volume!Q224+1,1)</f>
        <v>610.207072</v>
      </c>
      <c r="V224" s="26"/>
      <c r="W224">
        <f t="shared" si="53"/>
        <v>-32.05706257435887</v>
      </c>
      <c r="X224">
        <f>IF(Volume!W224&lt;'Temp Calcs'!$E$8,1,0)</f>
        <v>1</v>
      </c>
      <c r="Z224">
        <f t="shared" si="54"/>
        <v>30.907232796286625</v>
      </c>
      <c r="AA224">
        <f>IF(Volume!Z224&gt;'Temp Calcs'!$L$8,1,0)</f>
        <v>1</v>
      </c>
      <c r="AB224" s="6"/>
      <c r="AC224" s="5"/>
    </row>
    <row r="225" spans="1:29" ht="12.75">
      <c r="A225" s="1">
        <v>224</v>
      </c>
      <c r="B225" s="1"/>
      <c r="C225" s="31">
        <f t="shared" si="60"/>
        <v>6472.01200000001</v>
      </c>
      <c r="D225" s="8">
        <f t="shared" si="61"/>
        <v>610.2475515894297</v>
      </c>
      <c r="E225" s="7">
        <f t="shared" si="62"/>
        <v>3.8529299119111475</v>
      </c>
      <c r="F225" s="5"/>
      <c r="G225">
        <f t="shared" si="55"/>
        <v>609.6093121724003</v>
      </c>
      <c r="H225" s="8">
        <f t="shared" si="56"/>
        <v>0.6382394170293537</v>
      </c>
      <c r="I225" s="30">
        <f>IF(H225&lt;1,(Data!$G$16+14+0.8*Data!$G$17+Data!$G$18*(1-H225))*(1-H225),(Data!$G$16+6+Data!$G$17*(H225-0.6))*(H225-0.6))</f>
        <v>10.101629295584102</v>
      </c>
      <c r="J225" s="28">
        <f t="shared" si="47"/>
        <v>46.39286271801294</v>
      </c>
      <c r="K225" t="str">
        <f t="shared" si="57"/>
        <v>Fill</v>
      </c>
      <c r="L225" s="28">
        <f t="shared" si="58"/>
        <v>0</v>
      </c>
      <c r="M225" s="28">
        <f t="shared" si="59"/>
        <v>46.39286271801294</v>
      </c>
      <c r="N225" s="28">
        <f>SUM($L$3:L225)</f>
        <v>68476.60942132665</v>
      </c>
      <c r="O225" s="28">
        <f>SUM($M$3:M225)</f>
        <v>75685.17972539602</v>
      </c>
      <c r="Q225">
        <f>MATCH(C225,Ground!$A$3:$A$1999,1)</f>
        <v>83</v>
      </c>
      <c r="R225">
        <f ca="1">OFFSET(Ground!$A$2,Volume!Q225,0)</f>
        <v>6460</v>
      </c>
      <c r="S225">
        <f ca="1">OFFSET(Ground!$A$2,Volume!Q225,1)</f>
        <v>609.210141</v>
      </c>
      <c r="T225">
        <f ca="1">OFFSET(Ground!$A$2,Volume!Q225+1,0)</f>
        <v>6490</v>
      </c>
      <c r="U225">
        <f ca="1">OFFSET(Ground!$A$2,Volume!Q225+1,1)</f>
        <v>610.207072</v>
      </c>
      <c r="V225" s="26"/>
      <c r="W225">
        <f t="shared" si="53"/>
        <v>-31.958553031014326</v>
      </c>
      <c r="X225">
        <f>IF(Volume!W225&lt;'Temp Calcs'!$E$8,1,0)</f>
        <v>1</v>
      </c>
      <c r="Z225">
        <f t="shared" si="54"/>
        <v>30.827283491683698</v>
      </c>
      <c r="AA225">
        <f>IF(Volume!Z225&gt;'Temp Calcs'!$L$8,1,0)</f>
        <v>1</v>
      </c>
      <c r="AB225" s="6"/>
      <c r="AC225" s="5"/>
    </row>
    <row r="226" spans="1:29" ht="12.75">
      <c r="A226" s="1">
        <v>225</v>
      </c>
      <c r="B226" s="1"/>
      <c r="C226" s="31">
        <f t="shared" si="60"/>
        <v>6476.45600000001</v>
      </c>
      <c r="D226" s="8">
        <f t="shared" si="61"/>
        <v>610.418775794715</v>
      </c>
      <c r="E226" s="7">
        <f t="shared" si="62"/>
        <v>3.8529299119111475</v>
      </c>
      <c r="F226" s="5"/>
      <c r="G226">
        <f t="shared" si="55"/>
        <v>609.7569908845337</v>
      </c>
      <c r="H226" s="8">
        <f t="shared" si="56"/>
        <v>0.6617849101812681</v>
      </c>
      <c r="I226" s="30">
        <f>IF(H226&lt;1,(Data!$G$16+14+0.8*Data!$G$17+Data!$G$18*(1-H226))*(1-H226),(Data!$G$16+6+Data!$G$17*(H226-0.6))*(H226-0.6))</f>
        <v>9.428229337031695</v>
      </c>
      <c r="J226" s="28">
        <f t="shared" si="47"/>
        <v>43.395345881676356</v>
      </c>
      <c r="K226" t="str">
        <f t="shared" si="57"/>
        <v>Fill</v>
      </c>
      <c r="L226" s="28">
        <f t="shared" si="58"/>
        <v>0</v>
      </c>
      <c r="M226" s="28">
        <f t="shared" si="59"/>
        <v>43.395345881676356</v>
      </c>
      <c r="N226" s="28">
        <f>SUM($L$3:L226)</f>
        <v>68476.60942132665</v>
      </c>
      <c r="O226" s="28">
        <f>SUM($M$3:M226)</f>
        <v>75728.57507127771</v>
      </c>
      <c r="Q226">
        <f>MATCH(C226,Ground!$A$3:$A$1999,1)</f>
        <v>83</v>
      </c>
      <c r="R226">
        <f ca="1">OFFSET(Ground!$A$2,Volume!Q226,0)</f>
        <v>6460</v>
      </c>
      <c r="S226">
        <f ca="1">OFFSET(Ground!$A$2,Volume!Q226,1)</f>
        <v>609.210141</v>
      </c>
      <c r="T226">
        <f ca="1">OFFSET(Ground!$A$2,Volume!Q226+1,0)</f>
        <v>6490</v>
      </c>
      <c r="U226">
        <f ca="1">OFFSET(Ground!$A$2,Volume!Q226+1,1)</f>
        <v>610.207072</v>
      </c>
      <c r="V226" s="26"/>
      <c r="W226">
        <f t="shared" si="53"/>
        <v>-31.86317319712756</v>
      </c>
      <c r="X226">
        <f>IF(Volume!W226&lt;'Temp Calcs'!$E$8,1,0)</f>
        <v>1</v>
      </c>
      <c r="Z226">
        <f t="shared" si="54"/>
        <v>30.749874226210675</v>
      </c>
      <c r="AA226">
        <f>IF(Volume!Z226&gt;'Temp Calcs'!$L$8,1,0)</f>
        <v>1</v>
      </c>
      <c r="AB226" s="6"/>
      <c r="AC226" s="5"/>
    </row>
    <row r="227" spans="1:29" ht="12.75">
      <c r="A227" s="1">
        <v>226</v>
      </c>
      <c r="B227" s="1"/>
      <c r="C227" s="31">
        <f t="shared" si="60"/>
        <v>6480.900000000011</v>
      </c>
      <c r="D227" s="8">
        <f t="shared" si="61"/>
        <v>610.5900000000004</v>
      </c>
      <c r="E227" s="7">
        <f t="shared" si="62"/>
        <v>3.8529299119111475</v>
      </c>
      <c r="F227" s="5"/>
      <c r="G227">
        <f t="shared" si="55"/>
        <v>609.9046695966671</v>
      </c>
      <c r="H227" s="8">
        <f t="shared" si="56"/>
        <v>0.6853304033332961</v>
      </c>
      <c r="I227" s="30">
        <f>IF(H227&lt;1,(Data!$G$16+14+0.8*Data!$G$17+Data!$G$18*(1-H227))*(1-H227),(Data!$G$16+6+Data!$G$17*(H227-0.6))*(H227-0.6))</f>
        <v>8.757046939467118</v>
      </c>
      <c r="J227" s="28">
        <f t="shared" si="47"/>
        <v>40.40768388638413</v>
      </c>
      <c r="K227" t="str">
        <f t="shared" si="57"/>
        <v>Fill</v>
      </c>
      <c r="L227" s="28">
        <f t="shared" si="58"/>
        <v>0</v>
      </c>
      <c r="M227" s="28">
        <f t="shared" si="59"/>
        <v>40.40768388638413</v>
      </c>
      <c r="N227" s="28">
        <f>SUM($L$3:L227)</f>
        <v>68476.60942132665</v>
      </c>
      <c r="O227" s="28">
        <f>SUM($M$3:M227)</f>
        <v>75768.98275516409</v>
      </c>
      <c r="Q227">
        <f>MATCH(C227,Ground!$A$3:$A$1999,1)</f>
        <v>83</v>
      </c>
      <c r="R227">
        <f ca="1">OFFSET(Ground!$A$2,Volume!Q227,0)</f>
        <v>6460</v>
      </c>
      <c r="S227">
        <f ca="1">OFFSET(Ground!$A$2,Volume!Q227,1)</f>
        <v>609.210141</v>
      </c>
      <c r="T227">
        <f ca="1">OFFSET(Ground!$A$2,Volume!Q227+1,0)</f>
        <v>6490</v>
      </c>
      <c r="U227">
        <f ca="1">OFFSET(Ground!$A$2,Volume!Q227+1,1)</f>
        <v>610.207072</v>
      </c>
      <c r="V227" s="26"/>
      <c r="W227">
        <f t="shared" si="53"/>
        <v>-31.770776255707585</v>
      </c>
      <c r="X227">
        <f>IF(Volume!W227&lt;'Temp Calcs'!$E$8,1,0)</f>
        <v>1</v>
      </c>
      <c r="Z227">
        <f t="shared" si="54"/>
        <v>30.67488584474872</v>
      </c>
      <c r="AA227">
        <f>IF(Volume!Z227&gt;'Temp Calcs'!$L$8,1,0)</f>
        <v>1</v>
      </c>
      <c r="AB227" s="6"/>
      <c r="AC227" s="5"/>
    </row>
    <row r="228" spans="1:29" ht="12.75">
      <c r="A228" s="1">
        <v>227</v>
      </c>
      <c r="B228" s="1"/>
      <c r="C228" s="31">
        <f t="shared" si="60"/>
        <v>6485.344000000011</v>
      </c>
      <c r="D228" s="8">
        <f t="shared" si="61"/>
        <v>610.7612242052858</v>
      </c>
      <c r="E228" s="7">
        <f t="shared" si="62"/>
        <v>3.8529299119111475</v>
      </c>
      <c r="F228" s="5"/>
      <c r="G228">
        <f t="shared" si="55"/>
        <v>610.0523483088004</v>
      </c>
      <c r="H228" s="8">
        <f t="shared" si="56"/>
        <v>0.7088758964853241</v>
      </c>
      <c r="I228" s="30">
        <f>IF(H228&lt;1,(Data!$G$16+14+0.8*Data!$G$17+Data!$G$18*(1-H228))*(1-H228),(Data!$G$16+6+Data!$G$17*(H228-0.6))*(H228-0.6))</f>
        <v>8.088082102893631</v>
      </c>
      <c r="J228" s="28">
        <f aca="true" t="shared" si="63" ref="J228:J291">(I228+I227)/2*(C228-C227)</f>
        <v>37.42987673212908</v>
      </c>
      <c r="K228" t="str">
        <f t="shared" si="57"/>
        <v>Fill</v>
      </c>
      <c r="L228" s="28">
        <f t="shared" si="58"/>
        <v>0</v>
      </c>
      <c r="M228" s="28">
        <f t="shared" si="59"/>
        <v>37.42987673212908</v>
      </c>
      <c r="N228" s="28">
        <f>SUM($L$3:L228)</f>
        <v>68476.60942132665</v>
      </c>
      <c r="O228" s="28">
        <f>SUM($M$3:M228)</f>
        <v>75806.41263189622</v>
      </c>
      <c r="Q228">
        <f>MATCH(C228,Ground!$A$3:$A$1999,1)</f>
        <v>83</v>
      </c>
      <c r="R228">
        <f ca="1">OFFSET(Ground!$A$2,Volume!Q228,0)</f>
        <v>6460</v>
      </c>
      <c r="S228">
        <f ca="1">OFFSET(Ground!$A$2,Volume!Q228,1)</f>
        <v>609.210141</v>
      </c>
      <c r="T228">
        <f ca="1">OFFSET(Ground!$A$2,Volume!Q228+1,0)</f>
        <v>6490</v>
      </c>
      <c r="U228">
        <f ca="1">OFFSET(Ground!$A$2,Volume!Q228+1,1)</f>
        <v>610.207072</v>
      </c>
      <c r="V228" s="26"/>
      <c r="W228">
        <f t="shared" si="53"/>
        <v>-31.681224431439</v>
      </c>
      <c r="X228">
        <f>IF(Volume!W228&lt;'Temp Calcs'!$E$8,1,0)</f>
        <v>1</v>
      </c>
      <c r="Z228">
        <f t="shared" si="54"/>
        <v>30.602206530307523</v>
      </c>
      <c r="AA228">
        <f>IF(Volume!Z228&gt;'Temp Calcs'!$L$8,1,0)</f>
        <v>1</v>
      </c>
      <c r="AB228" s="6"/>
      <c r="AC228" s="5"/>
    </row>
    <row r="229" spans="1:29" ht="12.75">
      <c r="A229" s="1">
        <v>228</v>
      </c>
      <c r="B229" s="1"/>
      <c r="C229" s="31">
        <f t="shared" si="60"/>
        <v>6489.788000000011</v>
      </c>
      <c r="D229" s="8">
        <f t="shared" si="61"/>
        <v>610.932448410571</v>
      </c>
      <c r="E229" s="7">
        <f t="shared" si="62"/>
        <v>3.8529299119111475</v>
      </c>
      <c r="F229" s="5"/>
      <c r="G229">
        <f t="shared" si="55"/>
        <v>610.2000270209337</v>
      </c>
      <c r="H229" s="8">
        <f t="shared" si="56"/>
        <v>0.7324213896373521</v>
      </c>
      <c r="I229" s="30">
        <f>IF(H229&lt;1,(Data!$G$16+14+0.8*Data!$G$17+Data!$G$18*(1-H229))*(1-H229),(Data!$G$16+6+Data!$G$17*(H229-0.6))*(H229-0.6))</f>
        <v>7.421334827311233</v>
      </c>
      <c r="J229" s="28">
        <f t="shared" si="63"/>
        <v>34.46192441891842</v>
      </c>
      <c r="K229" t="str">
        <f t="shared" si="57"/>
        <v>Fill</v>
      </c>
      <c r="L229" s="28">
        <f t="shared" si="58"/>
        <v>0</v>
      </c>
      <c r="M229" s="28">
        <f t="shared" si="59"/>
        <v>34.46192441891842</v>
      </c>
      <c r="N229" s="28">
        <f>SUM($L$3:L229)</f>
        <v>68476.60942132665</v>
      </c>
      <c r="O229" s="28">
        <f>SUM($M$3:M229)</f>
        <v>75840.87455631515</v>
      </c>
      <c r="Q229">
        <f>MATCH(C229,Ground!$A$3:$A$1999,1)</f>
        <v>83</v>
      </c>
      <c r="R229">
        <f ca="1">OFFSET(Ground!$A$2,Volume!Q229,0)</f>
        <v>6460</v>
      </c>
      <c r="S229">
        <f ca="1">OFFSET(Ground!$A$2,Volume!Q229,1)</f>
        <v>609.210141</v>
      </c>
      <c r="T229">
        <f ca="1">OFFSET(Ground!$A$2,Volume!Q229+1,0)</f>
        <v>6490</v>
      </c>
      <c r="U229">
        <f ca="1">OFFSET(Ground!$A$2,Volume!Q229+1,1)</f>
        <v>610.207072</v>
      </c>
      <c r="V229" s="26"/>
      <c r="W229">
        <f t="shared" si="53"/>
        <v>-31.594388305199136</v>
      </c>
      <c r="X229">
        <f>IF(Volume!W229&lt;'Temp Calcs'!$E$8,1,0)</f>
        <v>1</v>
      </c>
      <c r="Z229">
        <f t="shared" si="54"/>
        <v>30.531731247694534</v>
      </c>
      <c r="AA229">
        <f>IF(Volume!Z229&gt;'Temp Calcs'!$L$8,1,0)</f>
        <v>1</v>
      </c>
      <c r="AB229" s="6"/>
      <c r="AC229" s="5"/>
    </row>
    <row r="230" spans="1:29" ht="12.75">
      <c r="A230" s="1">
        <v>229</v>
      </c>
      <c r="B230" s="1"/>
      <c r="C230" s="31">
        <f t="shared" si="60"/>
        <v>6494.232000000012</v>
      </c>
      <c r="D230" s="8">
        <f t="shared" si="61"/>
        <v>611.1036726158565</v>
      </c>
      <c r="E230" s="7">
        <f t="shared" si="62"/>
        <v>3.8529299119111475</v>
      </c>
      <c r="F230" s="5"/>
      <c r="G230">
        <f t="shared" si="55"/>
        <v>610.3933681666672</v>
      </c>
      <c r="H230" s="8">
        <f t="shared" si="56"/>
        <v>0.710304449189266</v>
      </c>
      <c r="I230" s="30">
        <f>IF(H230&lt;1,(Data!$G$16+14+0.8*Data!$G$17+Data!$G$18*(1-H230))*(1-H230),(Data!$G$16+6+Data!$G$17*(H230-0.6))*(H230-0.6))</f>
        <v>8.047566006371031</v>
      </c>
      <c r="J230" s="28">
        <f t="shared" si="63"/>
        <v>34.3718976524452</v>
      </c>
      <c r="K230" t="str">
        <f t="shared" si="57"/>
        <v>Fill</v>
      </c>
      <c r="L230" s="28">
        <f t="shared" si="58"/>
        <v>0</v>
      </c>
      <c r="M230" s="28">
        <f t="shared" si="59"/>
        <v>34.3718976524452</v>
      </c>
      <c r="N230" s="28">
        <f>SUM($L$3:L230)</f>
        <v>68476.60942132665</v>
      </c>
      <c r="O230" s="28">
        <f>SUM($M$3:M230)</f>
        <v>75875.24645396759</v>
      </c>
      <c r="Q230">
        <f>MATCH(C230,Ground!$A$3:$A$1999,1)</f>
        <v>84</v>
      </c>
      <c r="R230">
        <f ca="1">OFFSET(Ground!$A$2,Volume!Q230,0)</f>
        <v>6490</v>
      </c>
      <c r="S230">
        <f ca="1">OFFSET(Ground!$A$2,Volume!Q230,1)</f>
        <v>610.207072</v>
      </c>
      <c r="T230">
        <f ca="1">OFFSET(Ground!$A$2,Volume!Q230+1,0)</f>
        <v>6520</v>
      </c>
      <c r="U230">
        <f ca="1">OFFSET(Ground!$A$2,Volume!Q230+1,1)</f>
        <v>611.527697</v>
      </c>
      <c r="V230" s="26"/>
      <c r="W230">
        <f t="shared" si="53"/>
        <v>-31.510146190006505</v>
      </c>
      <c r="X230">
        <f>IF(Volume!W230&lt;'Temp Calcs'!$E$8,1,0)</f>
        <v>1</v>
      </c>
      <c r="Z230">
        <f t="shared" si="54"/>
        <v>30.463361237041113</v>
      </c>
      <c r="AA230">
        <f>IF(Volume!Z230&gt;'Temp Calcs'!$L$8,1,0)</f>
        <v>1</v>
      </c>
      <c r="AB230" s="6"/>
      <c r="AC230" s="5"/>
    </row>
    <row r="231" spans="1:29" ht="12.75">
      <c r="A231" s="1">
        <v>230</v>
      </c>
      <c r="B231" s="1"/>
      <c r="C231" s="31">
        <f t="shared" si="60"/>
        <v>6498.676000000012</v>
      </c>
      <c r="D231" s="8">
        <f t="shared" si="61"/>
        <v>611.2748968211417</v>
      </c>
      <c r="E231" s="7">
        <f t="shared" si="62"/>
        <v>3.8529299119111475</v>
      </c>
      <c r="F231" s="5"/>
      <c r="G231">
        <f t="shared" si="55"/>
        <v>610.5889967500005</v>
      </c>
      <c r="H231" s="8">
        <f t="shared" si="56"/>
        <v>0.6859000711411909</v>
      </c>
      <c r="I231" s="30">
        <f>IF(H231&lt;1,(Data!$G$16+14+0.8*Data!$G$17+Data!$G$18*(1-H231))*(1-H231),(Data!$G$16+6+Data!$G$17*(H231-0.6))*(H231-0.6))</f>
        <v>8.740835595577826</v>
      </c>
      <c r="J231" s="28">
        <f t="shared" si="63"/>
        <v>37.30382835953384</v>
      </c>
      <c r="K231" t="str">
        <f t="shared" si="57"/>
        <v>Fill</v>
      </c>
      <c r="L231" s="28">
        <f t="shared" si="58"/>
        <v>0</v>
      </c>
      <c r="M231" s="28">
        <f t="shared" si="59"/>
        <v>37.30382835953384</v>
      </c>
      <c r="N231" s="28">
        <f>SUM($L$3:L231)</f>
        <v>68476.60942132665</v>
      </c>
      <c r="O231" s="28">
        <f>SUM($M$3:M231)</f>
        <v>75912.55028232712</v>
      </c>
      <c r="Q231">
        <f>MATCH(C231,Ground!$A$3:$A$1999,1)</f>
        <v>84</v>
      </c>
      <c r="R231">
        <f ca="1">OFFSET(Ground!$A$2,Volume!Q231,0)</f>
        <v>6490</v>
      </c>
      <c r="S231">
        <f ca="1">OFFSET(Ground!$A$2,Volume!Q231,1)</f>
        <v>610.207072</v>
      </c>
      <c r="T231">
        <f ca="1">OFFSET(Ground!$A$2,Volume!Q231+1,0)</f>
        <v>6520</v>
      </c>
      <c r="U231">
        <f ca="1">OFFSET(Ground!$A$2,Volume!Q231+1,1)</f>
        <v>611.527697</v>
      </c>
      <c r="V231" s="26"/>
      <c r="W231">
        <f t="shared" si="53"/>
        <v>-31.42838356207516</v>
      </c>
      <c r="X231">
        <f>IF(Volume!W231&lt;'Temp Calcs'!$E$8,1,0)</f>
        <v>1</v>
      </c>
      <c r="Z231">
        <f t="shared" si="54"/>
        <v>30.397003552052656</v>
      </c>
      <c r="AA231">
        <f>IF(Volume!Z231&gt;'Temp Calcs'!$L$8,1,0)</f>
        <v>1</v>
      </c>
      <c r="AB231" s="6"/>
      <c r="AC231" s="5"/>
    </row>
    <row r="232" spans="1:29" ht="12.75">
      <c r="A232" s="1">
        <v>231</v>
      </c>
      <c r="B232" s="1"/>
      <c r="C232" s="31">
        <f t="shared" si="60"/>
        <v>6503.120000000013</v>
      </c>
      <c r="D232" s="8">
        <f t="shared" si="61"/>
        <v>611.4461210264271</v>
      </c>
      <c r="E232" s="7">
        <f t="shared" si="62"/>
        <v>3.8529299119111475</v>
      </c>
      <c r="F232" s="5"/>
      <c r="G232">
        <f t="shared" si="55"/>
        <v>610.7846253333339</v>
      </c>
      <c r="H232" s="8">
        <f t="shared" si="56"/>
        <v>0.6614956930932294</v>
      </c>
      <c r="I232" s="30">
        <f>IF(H232&lt;1,(Data!$G$16+14+0.8*Data!$G$17+Data!$G$18*(1-H232))*(1-H232),(Data!$G$16+6+Data!$G$17*(H232-0.6))*(H232-0.6))</f>
        <v>9.436487479453026</v>
      </c>
      <c r="J232" s="28">
        <f t="shared" si="63"/>
        <v>40.390011872722326</v>
      </c>
      <c r="K232" t="str">
        <f t="shared" si="57"/>
        <v>Fill</v>
      </c>
      <c r="L232" s="28">
        <f t="shared" si="58"/>
        <v>0</v>
      </c>
      <c r="M232" s="28">
        <f t="shared" si="59"/>
        <v>40.390011872722326</v>
      </c>
      <c r="N232" s="28">
        <f>SUM($L$3:L232)</f>
        <v>68476.60942132665</v>
      </c>
      <c r="O232" s="28">
        <f>SUM($M$3:M232)</f>
        <v>75952.94029419984</v>
      </c>
      <c r="Q232">
        <f>MATCH(C232,Ground!$A$3:$A$1999,1)</f>
        <v>84</v>
      </c>
      <c r="R232">
        <f ca="1">OFFSET(Ground!$A$2,Volume!Q232,0)</f>
        <v>6490</v>
      </c>
      <c r="S232">
        <f ca="1">OFFSET(Ground!$A$2,Volume!Q232,1)</f>
        <v>610.207072</v>
      </c>
      <c r="T232">
        <f ca="1">OFFSET(Ground!$A$2,Volume!Q232+1,0)</f>
        <v>6520</v>
      </c>
      <c r="U232">
        <f ca="1">OFFSET(Ground!$A$2,Volume!Q232+1,1)</f>
        <v>611.527697</v>
      </c>
      <c r="V232" s="26"/>
      <c r="W232">
        <f t="shared" si="53"/>
        <v>-31.348992541373065</v>
      </c>
      <c r="X232">
        <f>IF(Volume!W232&lt;'Temp Calcs'!$E$8,1,0)</f>
        <v>1</v>
      </c>
      <c r="Z232">
        <f t="shared" si="54"/>
        <v>30.332570638434845</v>
      </c>
      <c r="AA232">
        <f>IF(Volume!Z232&gt;'Temp Calcs'!$L$8,1,0)</f>
        <v>1</v>
      </c>
      <c r="AB232" s="6"/>
      <c r="AC232" s="5"/>
    </row>
    <row r="233" spans="1:29" ht="12.75">
      <c r="A233" s="1">
        <v>232</v>
      </c>
      <c r="B233" s="1"/>
      <c r="C233" s="31">
        <f t="shared" si="60"/>
        <v>6507.564000000013</v>
      </c>
      <c r="D233" s="8">
        <f t="shared" si="61"/>
        <v>611.6173452317124</v>
      </c>
      <c r="E233" s="7">
        <f t="shared" si="62"/>
        <v>3.8529299119111475</v>
      </c>
      <c r="F233" s="5"/>
      <c r="G233">
        <f t="shared" si="55"/>
        <v>610.9802539166673</v>
      </c>
      <c r="H233" s="8">
        <f t="shared" si="56"/>
        <v>0.6370913150451543</v>
      </c>
      <c r="I233" s="30">
        <f>IF(H233&lt;1,(Data!$G$16+14+0.8*Data!$G$17+Data!$G$18*(1-H233))*(1-H233),(Data!$G$16+6+Data!$G$17*(H233-0.6))*(H233-0.6))</f>
        <v>10.134521658003115</v>
      </c>
      <c r="J233" s="28">
        <f t="shared" si="63"/>
        <v>43.4867823034316</v>
      </c>
      <c r="K233" t="str">
        <f t="shared" si="57"/>
        <v>Fill</v>
      </c>
      <c r="L233" s="28">
        <f t="shared" si="58"/>
        <v>0</v>
      </c>
      <c r="M233" s="28">
        <f t="shared" si="59"/>
        <v>43.4867823034316</v>
      </c>
      <c r="N233" s="28">
        <f>SUM($L$3:L233)</f>
        <v>68476.60942132665</v>
      </c>
      <c r="O233" s="28">
        <f>SUM($M$3:M233)</f>
        <v>75996.42707650327</v>
      </c>
      <c r="Q233">
        <f>MATCH(C233,Ground!$A$3:$A$1999,1)</f>
        <v>84</v>
      </c>
      <c r="R233">
        <f ca="1">OFFSET(Ground!$A$2,Volume!Q233,0)</f>
        <v>6490</v>
      </c>
      <c r="S233">
        <f ca="1">OFFSET(Ground!$A$2,Volume!Q233,1)</f>
        <v>610.207072</v>
      </c>
      <c r="T233">
        <f ca="1">OFFSET(Ground!$A$2,Volume!Q233+1,0)</f>
        <v>6520</v>
      </c>
      <c r="U233">
        <f ca="1">OFFSET(Ground!$A$2,Volume!Q233+1,1)</f>
        <v>611.527697</v>
      </c>
      <c r="V233" s="26"/>
      <c r="W233">
        <f t="shared" si="53"/>
        <v>-31.271871416739803</v>
      </c>
      <c r="X233">
        <f>IF(Volume!W233&lt;'Temp Calcs'!$E$8,1,0)</f>
        <v>1</v>
      </c>
      <c r="Z233">
        <f t="shared" si="54"/>
        <v>30.269979948484586</v>
      </c>
      <c r="AA233">
        <f>IF(Volume!Z233&gt;'Temp Calcs'!$L$8,1,0)</f>
        <v>1</v>
      </c>
      <c r="AB233" s="6"/>
      <c r="AC233" s="5"/>
    </row>
    <row r="234" spans="1:29" ht="12.75">
      <c r="A234" s="1">
        <v>233</v>
      </c>
      <c r="B234" s="1"/>
      <c r="C234" s="31">
        <f t="shared" si="60"/>
        <v>6512.008000000013</v>
      </c>
      <c r="D234" s="8">
        <f t="shared" si="61"/>
        <v>611.7885694369978</v>
      </c>
      <c r="E234" s="7">
        <f t="shared" si="62"/>
        <v>3.8529299119111475</v>
      </c>
      <c r="F234" s="5"/>
      <c r="G234">
        <f t="shared" si="55"/>
        <v>611.1758825000006</v>
      </c>
      <c r="H234" s="8">
        <f t="shared" si="56"/>
        <v>0.6126869369971928</v>
      </c>
      <c r="I234" s="30">
        <f>IF(H234&lt;1,(Data!$G$16+14+0.8*Data!$G$17+Data!$G$18*(1-H234))*(1-H234),(Data!$G$16+6+Data!$G$17*(H234-0.6))*(H234-0.6))</f>
        <v>10.83493813122159</v>
      </c>
      <c r="J234" s="28">
        <f t="shared" si="63"/>
        <v>46.59413965166164</v>
      </c>
      <c r="K234" t="str">
        <f t="shared" si="57"/>
        <v>Fill</v>
      </c>
      <c r="L234" s="28">
        <f t="shared" si="58"/>
        <v>0</v>
      </c>
      <c r="M234" s="28">
        <f t="shared" si="59"/>
        <v>46.59413965166164</v>
      </c>
      <c r="N234" s="28">
        <f>SUM($L$3:L234)</f>
        <v>68476.60942132665</v>
      </c>
      <c r="O234" s="28">
        <f>SUM($M$3:M234)</f>
        <v>76043.02121615493</v>
      </c>
      <c r="Q234">
        <f>MATCH(C234,Ground!$A$3:$A$1999,1)</f>
        <v>84</v>
      </c>
      <c r="R234">
        <f ca="1">OFFSET(Ground!$A$2,Volume!Q234,0)</f>
        <v>6490</v>
      </c>
      <c r="S234">
        <f ca="1">OFFSET(Ground!$A$2,Volume!Q234,1)</f>
        <v>610.207072</v>
      </c>
      <c r="T234">
        <f ca="1">OFFSET(Ground!$A$2,Volume!Q234+1,0)</f>
        <v>6520</v>
      </c>
      <c r="U234">
        <f ca="1">OFFSET(Ground!$A$2,Volume!Q234+1,1)</f>
        <v>611.527697</v>
      </c>
      <c r="V234" s="26"/>
      <c r="W234">
        <f t="shared" si="53"/>
        <v>-31.19692421115812</v>
      </c>
      <c r="X234">
        <f>IF(Volume!W234&lt;'Temp Calcs'!$E$8,1,0)</f>
        <v>1</v>
      </c>
      <c r="Z234">
        <f t="shared" si="54"/>
        <v>30.209153588268595</v>
      </c>
      <c r="AA234">
        <f>IF(Volume!Z234&gt;'Temp Calcs'!$L$8,1,0)</f>
        <v>1</v>
      </c>
      <c r="AB234" s="6"/>
      <c r="AC234" s="5"/>
    </row>
    <row r="235" spans="1:29" ht="12.75">
      <c r="A235" s="1">
        <v>234</v>
      </c>
      <c r="B235" s="1"/>
      <c r="C235" s="31">
        <f t="shared" si="60"/>
        <v>6516.452000000014</v>
      </c>
      <c r="D235" s="8">
        <f t="shared" si="61"/>
        <v>611.9597936422832</v>
      </c>
      <c r="E235" s="7">
        <f t="shared" si="62"/>
        <v>3.8529299119111475</v>
      </c>
      <c r="F235" s="5"/>
      <c r="G235">
        <f t="shared" si="55"/>
        <v>611.371511083334</v>
      </c>
      <c r="H235" s="8">
        <f t="shared" si="56"/>
        <v>0.5882825589492313</v>
      </c>
      <c r="I235" s="30">
        <f>IF(H235&lt;1,(Data!$G$16+14+0.8*Data!$G$17+Data!$G$18*(1-H235))*(1-H235),(Data!$G$16+6+Data!$G$17*(H235-0.6))*(H235-0.6))</f>
        <v>11.537736899111694</v>
      </c>
      <c r="J235" s="28">
        <f t="shared" si="63"/>
        <v>49.712083917405195</v>
      </c>
      <c r="K235" t="str">
        <f t="shared" si="57"/>
        <v>Fill</v>
      </c>
      <c r="L235" s="28">
        <f t="shared" si="58"/>
        <v>0</v>
      </c>
      <c r="M235" s="28">
        <f t="shared" si="59"/>
        <v>49.712083917405195</v>
      </c>
      <c r="N235" s="28">
        <f>SUM($L$3:L235)</f>
        <v>68476.60942132665</v>
      </c>
      <c r="O235" s="28">
        <f>SUM($M$3:M235)</f>
        <v>76092.73330007233</v>
      </c>
      <c r="Q235">
        <f>MATCH(C235,Ground!$A$3:$A$1999,1)</f>
        <v>84</v>
      </c>
      <c r="R235">
        <f ca="1">OFFSET(Ground!$A$2,Volume!Q235,0)</f>
        <v>6490</v>
      </c>
      <c r="S235">
        <f ca="1">OFFSET(Ground!$A$2,Volume!Q235,1)</f>
        <v>610.207072</v>
      </c>
      <c r="T235">
        <f ca="1">OFFSET(Ground!$A$2,Volume!Q235+1,0)</f>
        <v>6520</v>
      </c>
      <c r="U235">
        <f ca="1">OFFSET(Ground!$A$2,Volume!Q235+1,1)</f>
        <v>611.527697</v>
      </c>
      <c r="V235" s="26"/>
      <c r="W235">
        <f t="shared" si="53"/>
        <v>-31.124060283281683</v>
      </c>
      <c r="X235">
        <f>IF(Volume!W235&lt;'Temp Calcs'!$E$8,1,0)</f>
        <v>1</v>
      </c>
      <c r="Z235">
        <f t="shared" si="54"/>
        <v>30.150017994227884</v>
      </c>
      <c r="AA235">
        <f>IF(Volume!Z235&gt;'Temp Calcs'!$L$8,1,0)</f>
        <v>1</v>
      </c>
      <c r="AB235" s="6"/>
      <c r="AC235" s="5"/>
    </row>
    <row r="236" spans="1:29" ht="12.75">
      <c r="A236" s="1">
        <v>235</v>
      </c>
      <c r="B236" s="1"/>
      <c r="C236" s="31">
        <f t="shared" si="60"/>
        <v>6520.896000000014</v>
      </c>
      <c r="D236" s="8">
        <f t="shared" si="61"/>
        <v>612.1310178475685</v>
      </c>
      <c r="E236" s="7">
        <f t="shared" si="62"/>
        <v>3.8529299119111475</v>
      </c>
      <c r="F236" s="5"/>
      <c r="G236">
        <f t="shared" si="55"/>
        <v>611.5703722256006</v>
      </c>
      <c r="H236" s="8">
        <f t="shared" si="56"/>
        <v>0.5606456219678648</v>
      </c>
      <c r="I236" s="30">
        <f>IF(H236&lt;1,(Data!$G$16+14+0.8*Data!$G$17+Data!$G$18*(1-H236))*(1-H236),(Data!$G$16+6+Data!$G$17*(H236-0.6))*(H236-0.6))</f>
        <v>12.336503621466084</v>
      </c>
      <c r="J236" s="28">
        <f t="shared" si="63"/>
        <v>53.04856243672877</v>
      </c>
      <c r="K236" t="str">
        <f t="shared" si="57"/>
        <v>Fill</v>
      </c>
      <c r="L236" s="28">
        <f t="shared" si="58"/>
        <v>0</v>
      </c>
      <c r="M236" s="28">
        <f t="shared" si="59"/>
        <v>53.04856243672877</v>
      </c>
      <c r="N236" s="28">
        <f>SUM($L$3:L236)</f>
        <v>68476.60942132665</v>
      </c>
      <c r="O236" s="28">
        <f>SUM($M$3:M236)</f>
        <v>76145.78186250906</v>
      </c>
      <c r="Q236">
        <f>MATCH(C236,Ground!$A$3:$A$1999,1)</f>
        <v>85</v>
      </c>
      <c r="R236">
        <f ca="1">OFFSET(Ground!$A$2,Volume!Q236,0)</f>
        <v>6520</v>
      </c>
      <c r="S236">
        <f ca="1">OFFSET(Ground!$A$2,Volume!Q236,1)</f>
        <v>611.527697</v>
      </c>
      <c r="T236">
        <f ca="1">OFFSET(Ground!$A$2,Volume!Q236+1,0)</f>
        <v>6550</v>
      </c>
      <c r="U236">
        <f ca="1">OFFSET(Ground!$A$2,Volume!Q236+1,1)</f>
        <v>612.956555</v>
      </c>
      <c r="V236" s="26"/>
      <c r="W236">
        <f t="shared" si="53"/>
        <v>-31.053193961733026</v>
      </c>
      <c r="X236">
        <f>IF(Volume!W236&lt;'Temp Calcs'!$E$8,1,0)</f>
        <v>1</v>
      </c>
      <c r="Z236">
        <f t="shared" si="54"/>
        <v>30.092503636377685</v>
      </c>
      <c r="AA236">
        <f>IF(Volume!Z236&gt;'Temp Calcs'!$L$8,1,0)</f>
        <v>1</v>
      </c>
      <c r="AB236" s="6"/>
      <c r="AC236" s="5"/>
    </row>
    <row r="237" spans="1:29" ht="12.75">
      <c r="A237" s="1">
        <v>236</v>
      </c>
      <c r="B237" s="1"/>
      <c r="C237" s="31">
        <f t="shared" si="60"/>
        <v>6525.340000000015</v>
      </c>
      <c r="D237" s="8">
        <f t="shared" si="61"/>
        <v>612.3022420528539</v>
      </c>
      <c r="E237" s="7">
        <f t="shared" si="62"/>
        <v>3.8529299119111475</v>
      </c>
      <c r="F237" s="5"/>
      <c r="G237">
        <f t="shared" si="55"/>
        <v>611.7820337240007</v>
      </c>
      <c r="H237" s="8">
        <f t="shared" si="56"/>
        <v>0.5202083288531867</v>
      </c>
      <c r="I237" s="30">
        <f>IF(H237&lt;1,(Data!$G$16+14+0.8*Data!$G$17+Data!$G$18*(1-H237))*(1-H237),(Data!$G$16+6+Data!$G$17*(H237-0.6))*(H237-0.6))</f>
        <v>13.510733550597026</v>
      </c>
      <c r="J237" s="28">
        <f t="shared" si="63"/>
        <v>57.43256099632959</v>
      </c>
      <c r="K237" t="str">
        <f t="shared" si="57"/>
        <v>Fill</v>
      </c>
      <c r="L237" s="28">
        <f t="shared" si="58"/>
        <v>0</v>
      </c>
      <c r="M237" s="28">
        <f t="shared" si="59"/>
        <v>57.43256099632959</v>
      </c>
      <c r="N237" s="28">
        <f>SUM($L$3:L237)</f>
        <v>68476.60942132665</v>
      </c>
      <c r="O237" s="28">
        <f>SUM($M$3:M237)</f>
        <v>76203.21442350539</v>
      </c>
      <c r="Q237">
        <f>MATCH(C237,Ground!$A$3:$A$1999,1)</f>
        <v>85</v>
      </c>
      <c r="R237">
        <f ca="1">OFFSET(Ground!$A$2,Volume!Q237,0)</f>
        <v>6520</v>
      </c>
      <c r="S237">
        <f ca="1">OFFSET(Ground!$A$2,Volume!Q237,1)</f>
        <v>611.527697</v>
      </c>
      <c r="T237">
        <f ca="1">OFFSET(Ground!$A$2,Volume!Q237+1,0)</f>
        <v>6550</v>
      </c>
      <c r="U237">
        <f ca="1">OFFSET(Ground!$A$2,Volume!Q237+1,1)</f>
        <v>612.956555</v>
      </c>
      <c r="V237" s="26"/>
      <c r="W237">
        <f t="shared" si="53"/>
        <v>-30.984244209072607</v>
      </c>
      <c r="X237">
        <f>IF(Volume!W237&lt;'Temp Calcs'!$E$8,1,0)</f>
        <v>1</v>
      </c>
      <c r="Z237">
        <f t="shared" si="54"/>
        <v>30.03654474558815</v>
      </c>
      <c r="AA237">
        <f>IF(Volume!Z237&gt;'Temp Calcs'!$L$8,1,0)</f>
        <v>1</v>
      </c>
      <c r="AB237" s="6"/>
      <c r="AC237" s="5"/>
    </row>
    <row r="238" spans="1:29" ht="12.75">
      <c r="A238" s="1">
        <v>237</v>
      </c>
      <c r="B238" s="1"/>
      <c r="C238" s="31">
        <f t="shared" si="60"/>
        <v>6529.784000000015</v>
      </c>
      <c r="D238" s="8">
        <f t="shared" si="61"/>
        <v>612.4734662581392</v>
      </c>
      <c r="E238" s="7">
        <f t="shared" si="62"/>
        <v>3.8529299119111475</v>
      </c>
      <c r="F238" s="5"/>
      <c r="G238">
        <f t="shared" si="55"/>
        <v>611.9936952224007</v>
      </c>
      <c r="H238" s="8">
        <f t="shared" si="56"/>
        <v>0.47977103573850854</v>
      </c>
      <c r="I238" s="30">
        <f>IF(H238&lt;1,(Data!$G$16+14+0.8*Data!$G$17+Data!$G$18*(1-H238))*(1-H238),(Data!$G$16+6+Data!$G$17*(H238-0.6))*(H238-0.6))</f>
        <v>14.691504178425735</v>
      </c>
      <c r="J238" s="28">
        <f t="shared" si="63"/>
        <v>62.66537223389442</v>
      </c>
      <c r="K238" t="str">
        <f t="shared" si="57"/>
        <v>Cut</v>
      </c>
      <c r="L238" s="28">
        <f t="shared" si="58"/>
        <v>62.66537223389442</v>
      </c>
      <c r="M238" s="28">
        <f t="shared" si="59"/>
        <v>0</v>
      </c>
      <c r="N238" s="28">
        <f>SUM($L$3:L238)</f>
        <v>68539.27479356054</v>
      </c>
      <c r="O238" s="28">
        <f>SUM($M$3:M238)</f>
        <v>76203.21442350539</v>
      </c>
      <c r="Q238">
        <f>MATCH(C238,Ground!$A$3:$A$1999,1)</f>
        <v>85</v>
      </c>
      <c r="R238">
        <f ca="1">OFFSET(Ground!$A$2,Volume!Q238,0)</f>
        <v>6520</v>
      </c>
      <c r="S238">
        <f ca="1">OFFSET(Ground!$A$2,Volume!Q238,1)</f>
        <v>611.527697</v>
      </c>
      <c r="T238">
        <f ca="1">OFFSET(Ground!$A$2,Volume!Q238+1,0)</f>
        <v>6550</v>
      </c>
      <c r="U238">
        <f ca="1">OFFSET(Ground!$A$2,Volume!Q238+1,1)</f>
        <v>612.956555</v>
      </c>
      <c r="V238" s="26"/>
      <c r="W238">
        <f t="shared" si="53"/>
        <v>-30.917134312670534</v>
      </c>
      <c r="X238">
        <f>IF(Volume!W238&lt;'Temp Calcs'!$E$8,1,0)</f>
        <v>1</v>
      </c>
      <c r="Z238">
        <f t="shared" si="54"/>
        <v>29.982079062699437</v>
      </c>
      <c r="AA238">
        <f>IF(Volume!Z238&gt;'Temp Calcs'!$L$8,1,0)</f>
        <v>1</v>
      </c>
      <c r="AB238" s="6"/>
      <c r="AC238" s="5"/>
    </row>
    <row r="239" spans="1:29" ht="12.75">
      <c r="A239" s="1">
        <v>238</v>
      </c>
      <c r="B239" s="1"/>
      <c r="C239" s="31">
        <f t="shared" si="60"/>
        <v>6534.2280000000155</v>
      </c>
      <c r="D239" s="8">
        <f t="shared" si="61"/>
        <v>612.6446904634246</v>
      </c>
      <c r="E239" s="7">
        <f t="shared" si="62"/>
        <v>3.8529299119111475</v>
      </c>
      <c r="F239" s="5"/>
      <c r="G239">
        <f t="shared" si="55"/>
        <v>612.2053567208008</v>
      </c>
      <c r="H239" s="8">
        <f t="shared" si="56"/>
        <v>0.4393337426238304</v>
      </c>
      <c r="I239" s="30">
        <f>IF(H239&lt;1,(Data!$G$16+14+0.8*Data!$G$17+Data!$G$18*(1-H239))*(1-H239),(Data!$G$16+6+Data!$G$17*(H239-0.6))*(H239-0.6))</f>
        <v>15.878815504952215</v>
      </c>
      <c r="J239" s="28">
        <f t="shared" si="63"/>
        <v>67.92725033647214</v>
      </c>
      <c r="K239" t="str">
        <f t="shared" si="57"/>
        <v>Cut</v>
      </c>
      <c r="L239" s="28">
        <f t="shared" si="58"/>
        <v>67.92725033647214</v>
      </c>
      <c r="M239" s="28">
        <f t="shared" si="59"/>
        <v>0</v>
      </c>
      <c r="N239" s="28">
        <f>SUM($L$3:L239)</f>
        <v>68607.20204389702</v>
      </c>
      <c r="O239" s="28">
        <f>SUM($M$3:M239)</f>
        <v>76203.21442350539</v>
      </c>
      <c r="Q239">
        <f>MATCH(C239,Ground!$A$3:$A$1999,1)</f>
        <v>85</v>
      </c>
      <c r="R239">
        <f ca="1">OFFSET(Ground!$A$2,Volume!Q239,0)</f>
        <v>6520</v>
      </c>
      <c r="S239">
        <f ca="1">OFFSET(Ground!$A$2,Volume!Q239,1)</f>
        <v>611.527697</v>
      </c>
      <c r="T239">
        <f ca="1">OFFSET(Ground!$A$2,Volume!Q239+1,0)</f>
        <v>6550</v>
      </c>
      <c r="U239">
        <f ca="1">OFFSET(Ground!$A$2,Volume!Q239+1,1)</f>
        <v>612.956555</v>
      </c>
      <c r="V239" s="26"/>
      <c r="W239">
        <f t="shared" si="53"/>
        <v>-30.851791599994794</v>
      </c>
      <c r="X239">
        <f>IF(Volume!W239&lt;'Temp Calcs'!$E$8,1,0)</f>
        <v>1</v>
      </c>
      <c r="Z239">
        <f t="shared" si="54"/>
        <v>29.929047607452276</v>
      </c>
      <c r="AA239">
        <f>IF(Volume!Z239&gt;'Temp Calcs'!$L$8,1,0)</f>
        <v>1</v>
      </c>
      <c r="AB239" s="6"/>
      <c r="AC239" s="5"/>
    </row>
    <row r="240" spans="1:29" ht="12.75">
      <c r="A240" s="1">
        <v>239</v>
      </c>
      <c r="B240" s="1"/>
      <c r="C240" s="31">
        <f t="shared" si="60"/>
        <v>6538.672000000016</v>
      </c>
      <c r="D240" s="8">
        <f t="shared" si="61"/>
        <v>612.8159146687099</v>
      </c>
      <c r="E240" s="7">
        <f t="shared" si="62"/>
        <v>3.8529299119111475</v>
      </c>
      <c r="F240" s="5"/>
      <c r="G240">
        <f t="shared" si="55"/>
        <v>612.4170182192007</v>
      </c>
      <c r="H240" s="8">
        <f t="shared" si="56"/>
        <v>0.39889644950915226</v>
      </c>
      <c r="I240" s="30">
        <f>IF(H240&lt;1,(Data!$G$16+14+0.8*Data!$G$17+Data!$G$18*(1-H240))*(1-H240),(Data!$G$16+6+Data!$G$17*(H240-0.6))*(H240-0.6))</f>
        <v>17.072667530176464</v>
      </c>
      <c r="J240" s="28">
        <f t="shared" si="63"/>
        <v>73.21819530406275</v>
      </c>
      <c r="K240" t="str">
        <f t="shared" si="57"/>
        <v>Cut</v>
      </c>
      <c r="L240" s="28">
        <f t="shared" si="58"/>
        <v>73.21819530406275</v>
      </c>
      <c r="M240" s="28">
        <f t="shared" si="59"/>
        <v>0</v>
      </c>
      <c r="N240" s="28">
        <f>SUM($L$3:L240)</f>
        <v>68680.42023920108</v>
      </c>
      <c r="O240" s="28">
        <f>SUM($M$3:M240)</f>
        <v>76203.21442350539</v>
      </c>
      <c r="Q240">
        <f>MATCH(C240,Ground!$A$3:$A$1999,1)</f>
        <v>85</v>
      </c>
      <c r="R240">
        <f ca="1">OFFSET(Ground!$A$2,Volume!Q240,0)</f>
        <v>6520</v>
      </c>
      <c r="S240">
        <f ca="1">OFFSET(Ground!$A$2,Volume!Q240,1)</f>
        <v>611.527697</v>
      </c>
      <c r="T240">
        <f ca="1">OFFSET(Ground!$A$2,Volume!Q240+1,0)</f>
        <v>6550</v>
      </c>
      <c r="U240">
        <f ca="1">OFFSET(Ground!$A$2,Volume!Q240+1,1)</f>
        <v>612.956555</v>
      </c>
      <c r="V240" s="26"/>
      <c r="W240">
        <f t="shared" si="53"/>
        <v>-30.78814717610312</v>
      </c>
      <c r="X240">
        <f>IF(Volume!W240&lt;'Temp Calcs'!$E$8,1,0)</f>
        <v>1</v>
      </c>
      <c r="Z240">
        <f t="shared" si="54"/>
        <v>29.877394465439505</v>
      </c>
      <c r="AA240">
        <f>IF(Volume!Z240&gt;'Temp Calcs'!$L$8,1,0)</f>
        <v>1</v>
      </c>
      <c r="AB240" s="6"/>
      <c r="AC240" s="5"/>
    </row>
    <row r="241" spans="1:29" ht="12.75">
      <c r="A241" s="1">
        <v>240</v>
      </c>
      <c r="B241" s="1"/>
      <c r="C241" s="31">
        <f t="shared" si="60"/>
        <v>6543.116000000016</v>
      </c>
      <c r="D241" s="8">
        <f t="shared" si="61"/>
        <v>612.9871388739953</v>
      </c>
      <c r="E241" s="7">
        <f t="shared" si="62"/>
        <v>3.8529299119111475</v>
      </c>
      <c r="F241" s="5"/>
      <c r="G241">
        <f t="shared" si="55"/>
        <v>612.6286797176008</v>
      </c>
      <c r="H241" s="8">
        <f t="shared" si="56"/>
        <v>0.3584591563944741</v>
      </c>
      <c r="I241" s="30">
        <f>IF(H241&lt;1,(Data!$G$16+14+0.8*Data!$G$17+Data!$G$18*(1-H241))*(1-H241),(Data!$G$16+6+Data!$G$17*(H241-0.6))*(H241-0.6))</f>
        <v>18.273060254098482</v>
      </c>
      <c r="J241" s="28">
        <f t="shared" si="63"/>
        <v>78.53820713666624</v>
      </c>
      <c r="K241" t="str">
        <f t="shared" si="57"/>
        <v>Cut</v>
      </c>
      <c r="L241" s="28">
        <f t="shared" si="58"/>
        <v>78.53820713666624</v>
      </c>
      <c r="M241" s="28">
        <f t="shared" si="59"/>
        <v>0</v>
      </c>
      <c r="N241" s="28">
        <f>SUM($L$3:L241)</f>
        <v>68758.95844633774</v>
      </c>
      <c r="O241" s="28">
        <f>SUM($M$3:M241)</f>
        <v>76203.21442350539</v>
      </c>
      <c r="Q241">
        <f>MATCH(C241,Ground!$A$3:$A$1999,1)</f>
        <v>85</v>
      </c>
      <c r="R241">
        <f ca="1">OFFSET(Ground!$A$2,Volume!Q241,0)</f>
        <v>6520</v>
      </c>
      <c r="S241">
        <f ca="1">OFFSET(Ground!$A$2,Volume!Q241,1)</f>
        <v>611.527697</v>
      </c>
      <c r="T241">
        <f ca="1">OFFSET(Ground!$A$2,Volume!Q241+1,0)</f>
        <v>6550</v>
      </c>
      <c r="U241">
        <f ca="1">OFFSET(Ground!$A$2,Volume!Q241+1,1)</f>
        <v>612.956555</v>
      </c>
      <c r="V241" s="26"/>
      <c r="W241">
        <f t="shared" si="53"/>
        <v>-30.726135681336228</v>
      </c>
      <c r="X241">
        <f>IF(Volume!W241&lt;'Temp Calcs'!$E$8,1,0)</f>
        <v>1</v>
      </c>
      <c r="Z241">
        <f t="shared" si="54"/>
        <v>29.827066591452102</v>
      </c>
      <c r="AA241">
        <f>IF(Volume!Z241&gt;'Temp Calcs'!$L$8,1,0)</f>
        <v>1</v>
      </c>
      <c r="AB241" s="6"/>
      <c r="AC241" s="5"/>
    </row>
    <row r="242" spans="1:29" ht="12.75">
      <c r="A242" s="1">
        <v>241</v>
      </c>
      <c r="B242" s="1"/>
      <c r="C242" s="31">
        <f t="shared" si="60"/>
        <v>6547.560000000017</v>
      </c>
      <c r="D242" s="8">
        <f t="shared" si="61"/>
        <v>613.1583630792805</v>
      </c>
      <c r="E242" s="7">
        <f t="shared" si="62"/>
        <v>3.8529299119111475</v>
      </c>
      <c r="F242" s="5"/>
      <c r="G242">
        <f t="shared" si="55"/>
        <v>612.8403412160008</v>
      </c>
      <c r="H242" s="8">
        <f t="shared" si="56"/>
        <v>0.318021863279796</v>
      </c>
      <c r="I242" s="30">
        <f>IF(H242&lt;1,(Data!$G$16+14+0.8*Data!$G$17+Data!$G$18*(1-H242))*(1-H242),(Data!$G$16+6+Data!$G$17*(H242-0.6))*(H242-0.6))</f>
        <v>19.479993676718273</v>
      </c>
      <c r="J242" s="28">
        <f t="shared" si="63"/>
        <v>83.88728583428266</v>
      </c>
      <c r="K242" t="str">
        <f t="shared" si="57"/>
        <v>Cut</v>
      </c>
      <c r="L242" s="28">
        <f t="shared" si="58"/>
        <v>83.88728583428266</v>
      </c>
      <c r="M242" s="28">
        <f t="shared" si="59"/>
        <v>0</v>
      </c>
      <c r="N242" s="28">
        <f>SUM($L$3:L242)</f>
        <v>68842.84573217202</v>
      </c>
      <c r="O242" s="28">
        <f>SUM($M$3:M242)</f>
        <v>76203.21442350539</v>
      </c>
      <c r="Q242">
        <f>MATCH(C242,Ground!$A$3:$A$1999,1)</f>
        <v>85</v>
      </c>
      <c r="R242">
        <f ca="1">OFFSET(Ground!$A$2,Volume!Q242,0)</f>
        <v>6520</v>
      </c>
      <c r="S242">
        <f ca="1">OFFSET(Ground!$A$2,Volume!Q242,1)</f>
        <v>611.527697</v>
      </c>
      <c r="T242">
        <f ca="1">OFFSET(Ground!$A$2,Volume!Q242+1,0)</f>
        <v>6550</v>
      </c>
      <c r="U242">
        <f ca="1">OFFSET(Ground!$A$2,Volume!Q242+1,1)</f>
        <v>612.956555</v>
      </c>
      <c r="V242" s="26"/>
      <c r="W242">
        <f t="shared" si="53"/>
        <v>-30.665695067429617</v>
      </c>
      <c r="X242">
        <f>IF(Volume!W242&lt;'Temp Calcs'!$E$8,1,0)</f>
        <v>1</v>
      </c>
      <c r="Z242">
        <f t="shared" si="54"/>
        <v>29.77801362777423</v>
      </c>
      <c r="AA242">
        <f>IF(Volume!Z242&gt;'Temp Calcs'!$L$8,1,0)</f>
        <v>1</v>
      </c>
      <c r="AB242" s="6"/>
      <c r="AC242" s="5"/>
    </row>
    <row r="243" spans="1:29" ht="12.75">
      <c r="A243" s="1">
        <v>242</v>
      </c>
      <c r="B243" s="1"/>
      <c r="C243" s="31">
        <f t="shared" si="60"/>
        <v>6552.004000000017</v>
      </c>
      <c r="D243" s="8">
        <f t="shared" si="61"/>
        <v>613.329587284566</v>
      </c>
      <c r="E243" s="7">
        <f t="shared" si="62"/>
        <v>3.8529299119111475</v>
      </c>
      <c r="F243" s="5"/>
      <c r="G243">
        <f t="shared" si="55"/>
        <v>613.0484977184008</v>
      </c>
      <c r="H243" s="8">
        <f t="shared" si="56"/>
        <v>0.28108956616517844</v>
      </c>
      <c r="I243" s="30">
        <f>IF(H243&lt;1,(Data!$G$16+14+0.8*Data!$G$17+Data!$G$18*(1-H243))*(1-H243),(Data!$G$16+6+Data!$G$17*(H243-0.6))*(H243-0.6))</f>
        <v>20.588028224060288</v>
      </c>
      <c r="J243" s="28">
        <f t="shared" si="63"/>
        <v>89.03114466353827</v>
      </c>
      <c r="K243" t="str">
        <f t="shared" si="57"/>
        <v>Cut</v>
      </c>
      <c r="L243" s="28">
        <f t="shared" si="58"/>
        <v>89.03114466353827</v>
      </c>
      <c r="M243" s="28">
        <f t="shared" si="59"/>
        <v>0</v>
      </c>
      <c r="N243" s="28">
        <f>SUM($L$3:L243)</f>
        <v>68931.87687683555</v>
      </c>
      <c r="O243" s="28">
        <f>SUM($M$3:M243)</f>
        <v>76203.21442350539</v>
      </c>
      <c r="Q243">
        <f>MATCH(C243,Ground!$A$3:$A$1999,1)</f>
        <v>86</v>
      </c>
      <c r="R243">
        <f ca="1">OFFSET(Ground!$A$2,Volume!Q243,0)</f>
        <v>6550</v>
      </c>
      <c r="S243">
        <f ca="1">OFFSET(Ground!$A$2,Volume!Q243,1)</f>
        <v>612.956555</v>
      </c>
      <c r="T243">
        <f ca="1">OFFSET(Ground!$A$2,Volume!Q243+1,0)</f>
        <v>6580</v>
      </c>
      <c r="U243">
        <f ca="1">OFFSET(Ground!$A$2,Volume!Q243+1,1)</f>
        <v>614.332943</v>
      </c>
      <c r="V243" s="26"/>
      <c r="W243">
        <f t="shared" si="53"/>
        <v>-30.606766390423108</v>
      </c>
      <c r="X243">
        <f>IF(Volume!W243&lt;'Temp Calcs'!$E$8,1,0)</f>
        <v>1</v>
      </c>
      <c r="Z243">
        <f t="shared" si="54"/>
        <v>29.730187736110487</v>
      </c>
      <c r="AA243">
        <f>IF(Volume!Z243&gt;'Temp Calcs'!$L$8,1,0)</f>
        <v>1</v>
      </c>
      <c r="AB243" s="6"/>
      <c r="AC243" s="5"/>
    </row>
    <row r="244" spans="1:29" ht="12.75">
      <c r="A244" s="1">
        <v>243</v>
      </c>
      <c r="B244" s="1"/>
      <c r="C244" s="31">
        <f t="shared" si="60"/>
        <v>6556.448000000018</v>
      </c>
      <c r="D244" s="8">
        <f t="shared" si="61"/>
        <v>613.5008114898513</v>
      </c>
      <c r="E244" s="7">
        <f t="shared" si="62"/>
        <v>3.8529299119111475</v>
      </c>
      <c r="F244" s="5"/>
      <c r="G244">
        <f t="shared" si="55"/>
        <v>613.2523866608008</v>
      </c>
      <c r="H244" s="8">
        <f t="shared" si="56"/>
        <v>0.2484248290505775</v>
      </c>
      <c r="I244" s="30">
        <f>IF(H244&lt;1,(Data!$G$16+14+0.8*Data!$G$17+Data!$G$18*(1-H244))*(1-H244),(Data!$G$16+6+Data!$G$17*(H244-0.6))*(H244-0.6))</f>
        <v>21.5725751249996</v>
      </c>
      <c r="J244" s="28">
        <f t="shared" si="63"/>
        <v>93.6808606416198</v>
      </c>
      <c r="K244" t="str">
        <f t="shared" si="57"/>
        <v>Cut</v>
      </c>
      <c r="L244" s="28">
        <f t="shared" si="58"/>
        <v>93.6808606416198</v>
      </c>
      <c r="M244" s="28">
        <f t="shared" si="59"/>
        <v>0</v>
      </c>
      <c r="N244" s="28">
        <f>SUM($L$3:L244)</f>
        <v>69025.55773747717</v>
      </c>
      <c r="O244" s="28">
        <f>SUM($M$3:M244)</f>
        <v>76203.21442350539</v>
      </c>
      <c r="Q244">
        <f>MATCH(C244,Ground!$A$3:$A$1999,1)</f>
        <v>86</v>
      </c>
      <c r="R244">
        <f ca="1">OFFSET(Ground!$A$2,Volume!Q244,0)</f>
        <v>6550</v>
      </c>
      <c r="S244">
        <f ca="1">OFFSET(Ground!$A$2,Volume!Q244,1)</f>
        <v>612.956555</v>
      </c>
      <c r="T244">
        <f ca="1">OFFSET(Ground!$A$2,Volume!Q244+1,0)</f>
        <v>6580</v>
      </c>
      <c r="U244">
        <f ca="1">OFFSET(Ground!$A$2,Volume!Q244+1,1)</f>
        <v>614.332943</v>
      </c>
      <c r="V244" s="26"/>
      <c r="W244">
        <f t="shared" si="53"/>
        <v>-30.549293618923482</v>
      </c>
      <c r="X244">
        <f>IF(Volume!W244&lt;'Temp Calcs'!$E$8,1,0)</f>
        <v>1</v>
      </c>
      <c r="Z244">
        <f t="shared" si="54"/>
        <v>29.683543441974162</v>
      </c>
      <c r="AA244">
        <f>IF(Volume!Z244&gt;'Temp Calcs'!$L$8,1,0)</f>
        <v>1</v>
      </c>
      <c r="AB244" s="6"/>
      <c r="AC244" s="5"/>
    </row>
    <row r="245" spans="1:29" ht="12.75">
      <c r="A245" s="1">
        <v>244</v>
      </c>
      <c r="B245" s="1"/>
      <c r="C245" s="31">
        <f t="shared" si="60"/>
        <v>6560.892000000018</v>
      </c>
      <c r="D245" s="8">
        <f t="shared" si="61"/>
        <v>613.6720356951366</v>
      </c>
      <c r="E245" s="7">
        <f t="shared" si="62"/>
        <v>3.8529299119111475</v>
      </c>
      <c r="F245" s="5"/>
      <c r="G245">
        <f t="shared" si="55"/>
        <v>613.4562756032008</v>
      </c>
      <c r="H245" s="8">
        <f t="shared" si="56"/>
        <v>0.21576009193586287</v>
      </c>
      <c r="I245" s="30">
        <f>IF(H245&lt;1,(Data!$G$16+14+0.8*Data!$G$17+Data!$G$18*(1-H245))*(1-H245),(Data!$G$16+6+Data!$G$17*(H245-0.6))*(H245-0.6))</f>
        <v>22.561389966145423</v>
      </c>
      <c r="J245" s="28">
        <f t="shared" si="63"/>
        <v>98.0656704325334</v>
      </c>
      <c r="K245" t="str">
        <f t="shared" si="57"/>
        <v>Cut</v>
      </c>
      <c r="L245" s="28">
        <f t="shared" si="58"/>
        <v>98.0656704325334</v>
      </c>
      <c r="M245" s="28">
        <f t="shared" si="59"/>
        <v>0</v>
      </c>
      <c r="N245" s="28">
        <f>SUM($L$3:L245)</f>
        <v>69123.6234079097</v>
      </c>
      <c r="O245" s="28">
        <f>SUM($M$3:M245)</f>
        <v>76203.21442350539</v>
      </c>
      <c r="Q245">
        <f>MATCH(C245,Ground!$A$3:$A$1999,1)</f>
        <v>86</v>
      </c>
      <c r="R245">
        <f ca="1">OFFSET(Ground!$A$2,Volume!Q245,0)</f>
        <v>6550</v>
      </c>
      <c r="S245">
        <f ca="1">OFFSET(Ground!$A$2,Volume!Q245,1)</f>
        <v>612.956555</v>
      </c>
      <c r="T245">
        <f ca="1">OFFSET(Ground!$A$2,Volume!Q245+1,0)</f>
        <v>6580</v>
      </c>
      <c r="U245">
        <f ca="1">OFFSET(Ground!$A$2,Volume!Q245+1,1)</f>
        <v>614.332943</v>
      </c>
      <c r="V245" s="26"/>
      <c r="W245">
        <f t="shared" si="53"/>
        <v>-30.4932234564025</v>
      </c>
      <c r="X245">
        <f>IF(Volume!W245&lt;'Temp Calcs'!$E$8,1,0)</f>
        <v>1</v>
      </c>
      <c r="Z245">
        <f t="shared" si="54"/>
        <v>29.63803749046606</v>
      </c>
      <c r="AA245">
        <f>IF(Volume!Z245&gt;'Temp Calcs'!$L$8,1,0)</f>
        <v>1</v>
      </c>
      <c r="AB245" s="6"/>
      <c r="AC245" s="5"/>
    </row>
    <row r="246" spans="1:29" ht="12.75">
      <c r="A246" s="1">
        <v>245</v>
      </c>
      <c r="B246" s="1"/>
      <c r="C246" s="31">
        <f t="shared" si="60"/>
        <v>6565.336000000018</v>
      </c>
      <c r="D246" s="8">
        <f t="shared" si="61"/>
        <v>613.843259900422</v>
      </c>
      <c r="E246" s="7">
        <f t="shared" si="62"/>
        <v>3.8529299119111475</v>
      </c>
      <c r="F246" s="5"/>
      <c r="G246">
        <f t="shared" si="55"/>
        <v>613.6601645456009</v>
      </c>
      <c r="H246" s="8">
        <f t="shared" si="56"/>
        <v>0.18309535482114825</v>
      </c>
      <c r="I246" s="30">
        <f>IF(H246&lt;1,(Data!$G$16+14+0.8*Data!$G$17+Data!$G$18*(1-H246))*(1-H246),(Data!$G$16+6+Data!$G$17*(H246-0.6))*(H246-0.6))</f>
        <v>23.554472747494337</v>
      </c>
      <c r="J246" s="28">
        <f t="shared" si="63"/>
        <v>102.46944694971711</v>
      </c>
      <c r="K246" t="str">
        <f t="shared" si="57"/>
        <v>Cut</v>
      </c>
      <c r="L246" s="28">
        <f t="shared" si="58"/>
        <v>102.46944694971711</v>
      </c>
      <c r="M246" s="28">
        <f t="shared" si="59"/>
        <v>0</v>
      </c>
      <c r="N246" s="28">
        <f>SUM($L$3:L246)</f>
        <v>69226.09285485942</v>
      </c>
      <c r="O246" s="28">
        <f>SUM($M$3:M246)</f>
        <v>76203.21442350539</v>
      </c>
      <c r="Q246">
        <f>MATCH(C246,Ground!$A$3:$A$1999,1)</f>
        <v>86</v>
      </c>
      <c r="R246">
        <f ca="1">OFFSET(Ground!$A$2,Volume!Q246,0)</f>
        <v>6550</v>
      </c>
      <c r="S246">
        <f ca="1">OFFSET(Ground!$A$2,Volume!Q246,1)</f>
        <v>612.956555</v>
      </c>
      <c r="T246">
        <f ca="1">OFFSET(Ground!$A$2,Volume!Q246+1,0)</f>
        <v>6580</v>
      </c>
      <c r="U246">
        <f ca="1">OFFSET(Ground!$A$2,Volume!Q246+1,1)</f>
        <v>614.332943</v>
      </c>
      <c r="V246" s="26"/>
      <c r="W246">
        <f t="shared" si="53"/>
        <v>-30.43850517634842</v>
      </c>
      <c r="X246">
        <f>IF(Volume!W246&lt;'Temp Calcs'!$E$8,1,0)</f>
        <v>1</v>
      </c>
      <c r="Z246">
        <f t="shared" si="54"/>
        <v>29.593628712485117</v>
      </c>
      <c r="AA246">
        <f>IF(Volume!Z246&gt;'Temp Calcs'!$L$8,1,0)</f>
        <v>1</v>
      </c>
      <c r="AB246" s="6"/>
      <c r="AC246" s="5"/>
    </row>
    <row r="247" spans="1:29" ht="12.75">
      <c r="A247" s="1">
        <v>246</v>
      </c>
      <c r="B247" s="1"/>
      <c r="C247" s="31">
        <f t="shared" si="60"/>
        <v>6569.780000000019</v>
      </c>
      <c r="D247" s="8">
        <f t="shared" si="61"/>
        <v>614.0144841057073</v>
      </c>
      <c r="E247" s="7">
        <f t="shared" si="62"/>
        <v>3.8529299119111475</v>
      </c>
      <c r="F247" s="5"/>
      <c r="G247">
        <f t="shared" si="55"/>
        <v>613.8640534880009</v>
      </c>
      <c r="H247" s="8">
        <f t="shared" si="56"/>
        <v>0.15043061770643362</v>
      </c>
      <c r="I247" s="30">
        <f>IF(H247&lt;1,(Data!$G$16+14+0.8*Data!$G$17+Data!$G$18*(1-H247))*(1-H247),(Data!$G$16+6+Data!$G$17*(H247-0.6))*(H247-0.6))</f>
        <v>24.551823469046347</v>
      </c>
      <c r="J247" s="28">
        <f t="shared" si="63"/>
        <v>106.89219019316337</v>
      </c>
      <c r="K247" t="str">
        <f t="shared" si="57"/>
        <v>Cut</v>
      </c>
      <c r="L247" s="28">
        <f t="shared" si="58"/>
        <v>106.89219019316337</v>
      </c>
      <c r="M247" s="28">
        <f t="shared" si="59"/>
        <v>0</v>
      </c>
      <c r="N247" s="28">
        <f>SUM($L$3:L247)</f>
        <v>69332.98504505258</v>
      </c>
      <c r="O247" s="28">
        <f>SUM($M$3:M247)</f>
        <v>76203.21442350539</v>
      </c>
      <c r="Q247">
        <f>MATCH(C247,Ground!$A$3:$A$1999,1)</f>
        <v>86</v>
      </c>
      <c r="R247">
        <f ca="1">OFFSET(Ground!$A$2,Volume!Q247,0)</f>
        <v>6550</v>
      </c>
      <c r="S247">
        <f ca="1">OFFSET(Ground!$A$2,Volume!Q247,1)</f>
        <v>612.956555</v>
      </c>
      <c r="T247">
        <f ca="1">OFFSET(Ground!$A$2,Volume!Q247+1,0)</f>
        <v>6580</v>
      </c>
      <c r="U247">
        <f ca="1">OFFSET(Ground!$A$2,Volume!Q247+1,1)</f>
        <v>614.332943</v>
      </c>
      <c r="V247" s="26"/>
      <c r="W247">
        <f t="shared" si="53"/>
        <v>-30.38509046920168</v>
      </c>
      <c r="X247">
        <f>IF(Volume!W247&lt;'Temp Calcs'!$E$8,1,0)</f>
        <v>1</v>
      </c>
      <c r="Z247">
        <f t="shared" si="54"/>
        <v>29.550277900503268</v>
      </c>
      <c r="AA247">
        <f>IF(Volume!Z247&gt;'Temp Calcs'!$L$8,1,0)</f>
        <v>1</v>
      </c>
      <c r="AB247" s="6"/>
      <c r="AC247" s="5"/>
    </row>
    <row r="248" spans="1:29" ht="12.75">
      <c r="A248" s="1">
        <v>247</v>
      </c>
      <c r="B248" s="1"/>
      <c r="C248" s="31">
        <f t="shared" si="60"/>
        <v>6574.224000000019</v>
      </c>
      <c r="D248" s="8">
        <f t="shared" si="61"/>
        <v>614.1857083109927</v>
      </c>
      <c r="E248" s="7">
        <f t="shared" si="62"/>
        <v>3.8529299119111475</v>
      </c>
      <c r="F248" s="5"/>
      <c r="G248">
        <f t="shared" si="55"/>
        <v>614.0679424304009</v>
      </c>
      <c r="H248" s="8">
        <f t="shared" si="56"/>
        <v>0.11776588059183268</v>
      </c>
      <c r="I248" s="30">
        <f>IF(H248&lt;1,(Data!$G$16+14+0.8*Data!$G$17+Data!$G$18*(1-H248))*(1-H248),(Data!$G$16+6+Data!$G$17*(H248-0.6))*(H248-0.6))</f>
        <v>25.553442130797958</v>
      </c>
      <c r="J248" s="28">
        <f t="shared" si="63"/>
        <v>111.33390016286442</v>
      </c>
      <c r="K248" t="str">
        <f t="shared" si="57"/>
        <v>Cut</v>
      </c>
      <c r="L248" s="28">
        <f t="shared" si="58"/>
        <v>111.33390016286442</v>
      </c>
      <c r="M248" s="28">
        <f t="shared" si="59"/>
        <v>0</v>
      </c>
      <c r="N248" s="28">
        <f>SUM($L$3:L248)</f>
        <v>69444.31894521545</v>
      </c>
      <c r="O248" s="28">
        <f>SUM($M$3:M248)</f>
        <v>76203.21442350539</v>
      </c>
      <c r="Q248">
        <f>MATCH(C248,Ground!$A$3:$A$1999,1)</f>
        <v>86</v>
      </c>
      <c r="R248">
        <f ca="1">OFFSET(Ground!$A$2,Volume!Q248,0)</f>
        <v>6550</v>
      </c>
      <c r="S248">
        <f ca="1">OFFSET(Ground!$A$2,Volume!Q248,1)</f>
        <v>612.956555</v>
      </c>
      <c r="T248">
        <f ca="1">OFFSET(Ground!$A$2,Volume!Q248+1,0)</f>
        <v>6580</v>
      </c>
      <c r="U248">
        <f ca="1">OFFSET(Ground!$A$2,Volume!Q248+1,1)</f>
        <v>614.332943</v>
      </c>
      <c r="V248" s="26"/>
      <c r="W248">
        <f t="shared" si="53"/>
        <v>-30.3329333000977</v>
      </c>
      <c r="X248">
        <f>IF(Volume!W248&lt;'Temp Calcs'!$E$8,1,0)</f>
        <v>1</v>
      </c>
      <c r="Z248">
        <f t="shared" si="54"/>
        <v>29.507947693110715</v>
      </c>
      <c r="AA248">
        <f>IF(Volume!Z248&gt;'Temp Calcs'!$L$8,1,0)</f>
        <v>1</v>
      </c>
      <c r="AB248" s="6"/>
      <c r="AC248" s="5"/>
    </row>
    <row r="249" spans="1:29" ht="12.75">
      <c r="A249" s="1">
        <v>248</v>
      </c>
      <c r="B249" s="1"/>
      <c r="C249" s="31">
        <f t="shared" si="60"/>
        <v>6578.66800000002</v>
      </c>
      <c r="D249" s="8">
        <f t="shared" si="61"/>
        <v>614.356932516278</v>
      </c>
      <c r="E249" s="7">
        <f t="shared" si="62"/>
        <v>3.8529299119111475</v>
      </c>
      <c r="F249" s="5"/>
      <c r="G249">
        <f t="shared" si="55"/>
        <v>614.2718313728009</v>
      </c>
      <c r="H249" s="8">
        <f t="shared" si="56"/>
        <v>0.08510114347711806</v>
      </c>
      <c r="I249" s="30">
        <f>IF(H249&lt;1,(Data!$G$16+14+0.8*Data!$G$17+Data!$G$18*(1-H249))*(1-H249),(Data!$G$16+6+Data!$G$17*(H249-0.6))*(H249-0.6))</f>
        <v>26.559328732756143</v>
      </c>
      <c r="J249" s="28">
        <f t="shared" si="63"/>
        <v>115.79457685882802</v>
      </c>
      <c r="K249" t="str">
        <f t="shared" si="57"/>
        <v>Cut</v>
      </c>
      <c r="L249" s="28">
        <f t="shared" si="58"/>
        <v>115.79457685882802</v>
      </c>
      <c r="M249" s="28">
        <f t="shared" si="59"/>
        <v>0</v>
      </c>
      <c r="N249" s="28">
        <f>SUM($L$3:L249)</f>
        <v>69560.11352207427</v>
      </c>
      <c r="O249" s="28">
        <f>SUM($M$3:M249)</f>
        <v>76203.21442350539</v>
      </c>
      <c r="Q249">
        <f>MATCH(C249,Ground!$A$3:$A$1999,1)</f>
        <v>86</v>
      </c>
      <c r="R249">
        <f ca="1">OFFSET(Ground!$A$2,Volume!Q249,0)</f>
        <v>6550</v>
      </c>
      <c r="S249">
        <f ca="1">OFFSET(Ground!$A$2,Volume!Q249,1)</f>
        <v>612.956555</v>
      </c>
      <c r="T249">
        <f ca="1">OFFSET(Ground!$A$2,Volume!Q249+1,0)</f>
        <v>6580</v>
      </c>
      <c r="U249">
        <f ca="1">OFFSET(Ground!$A$2,Volume!Q249+1,1)</f>
        <v>614.332943</v>
      </c>
      <c r="V249" s="26"/>
      <c r="W249">
        <f t="shared" si="53"/>
        <v>-30.28198977654406</v>
      </c>
      <c r="X249">
        <f>IF(Volume!W249&lt;'Temp Calcs'!$E$8,1,0)</f>
        <v>1</v>
      </c>
      <c r="Z249">
        <f t="shared" si="54"/>
        <v>29.466602467624412</v>
      </c>
      <c r="AA249">
        <f>IF(Volume!Z249&gt;'Temp Calcs'!$L$8,1,0)</f>
        <v>1</v>
      </c>
      <c r="AB249" s="6"/>
      <c r="AC249" s="5"/>
    </row>
    <row r="250" spans="1:29" ht="12.75">
      <c r="A250" s="1">
        <v>249</v>
      </c>
      <c r="B250" s="1"/>
      <c r="C250" s="31">
        <f t="shared" si="60"/>
        <v>6583.11200000002</v>
      </c>
      <c r="D250" s="8">
        <f t="shared" si="61"/>
        <v>614.5281567215634</v>
      </c>
      <c r="E250" s="7">
        <f t="shared" si="62"/>
        <v>3.8529299119111475</v>
      </c>
      <c r="F250" s="5"/>
      <c r="G250">
        <f t="shared" si="55"/>
        <v>614.4668745589343</v>
      </c>
      <c r="H250" s="8">
        <f t="shared" si="56"/>
        <v>0.06128216262914066</v>
      </c>
      <c r="I250" s="30">
        <f>IF(H250&lt;1,(Data!$G$16+14+0.8*Data!$G$17+Data!$G$18*(1-H250))*(1-H250),(Data!$G$16+6+Data!$G$17*(H250-0.6))*(H250-0.6))</f>
        <v>27.29550753288382</v>
      </c>
      <c r="J250" s="28">
        <f t="shared" si="63"/>
        <v>119.66544618226315</v>
      </c>
      <c r="K250" t="str">
        <f t="shared" si="57"/>
        <v>Cut</v>
      </c>
      <c r="L250" s="28">
        <f t="shared" si="58"/>
        <v>119.66544618226315</v>
      </c>
      <c r="M250" s="28">
        <f t="shared" si="59"/>
        <v>0</v>
      </c>
      <c r="N250" s="28">
        <f>SUM($L$3:L250)</f>
        <v>69679.77896825653</v>
      </c>
      <c r="O250" s="28">
        <f>SUM($M$3:M250)</f>
        <v>76203.21442350539</v>
      </c>
      <c r="Q250">
        <f>MATCH(C250,Ground!$A$3:$A$1999,1)</f>
        <v>87</v>
      </c>
      <c r="R250">
        <f ca="1">OFFSET(Ground!$A$2,Volume!Q250,0)</f>
        <v>6580</v>
      </c>
      <c r="S250">
        <f ca="1">OFFSET(Ground!$A$2,Volume!Q250,1)</f>
        <v>614.332943</v>
      </c>
      <c r="T250">
        <f ca="1">OFFSET(Ground!$A$2,Volume!Q250+1,0)</f>
        <v>6610</v>
      </c>
      <c r="U250">
        <f ca="1">OFFSET(Ground!$A$2,Volume!Q250+1,1)</f>
        <v>615.624057</v>
      </c>
      <c r="V250" s="26"/>
      <c r="W250">
        <f t="shared" si="53"/>
        <v>-30.23221802522473</v>
      </c>
      <c r="X250">
        <f>IF(Volume!W250&lt;'Temp Calcs'!$E$8,1,0)</f>
        <v>1</v>
      </c>
      <c r="Z250">
        <f t="shared" si="54"/>
        <v>29.4262082401034</v>
      </c>
      <c r="AA250">
        <f>IF(Volume!Z250&gt;'Temp Calcs'!$L$8,1,0)</f>
        <v>1</v>
      </c>
      <c r="AB250" s="6"/>
      <c r="AC250" s="5"/>
    </row>
    <row r="251" spans="1:29" ht="12.75">
      <c r="A251" s="1">
        <v>250</v>
      </c>
      <c r="B251" s="1"/>
      <c r="C251" s="31">
        <f t="shared" si="60"/>
        <v>6587.5560000000205</v>
      </c>
      <c r="D251" s="8">
        <f t="shared" si="61"/>
        <v>614.6993809268488</v>
      </c>
      <c r="E251" s="7">
        <f t="shared" si="62"/>
        <v>3.8529299119111475</v>
      </c>
      <c r="F251" s="5"/>
      <c r="G251">
        <f t="shared" si="55"/>
        <v>614.6581315794675</v>
      </c>
      <c r="H251" s="8">
        <f t="shared" si="56"/>
        <v>0.0412493473812674</v>
      </c>
      <c r="I251" s="30">
        <f>IF(H251&lt;1,(Data!$G$16+14+0.8*Data!$G$17+Data!$G$18*(1-H251))*(1-H251),(Data!$G$16+6+Data!$G$17*(H251-0.6))*(H251-0.6))</f>
        <v>27.916423379023218</v>
      </c>
      <c r="J251" s="28">
        <f t="shared" si="63"/>
        <v>122.68091048626889</v>
      </c>
      <c r="K251" t="str">
        <f t="shared" si="57"/>
        <v>Cut</v>
      </c>
      <c r="L251" s="28">
        <f t="shared" si="58"/>
        <v>122.68091048626889</v>
      </c>
      <c r="M251" s="28">
        <f t="shared" si="59"/>
        <v>0</v>
      </c>
      <c r="N251" s="28">
        <f>SUM($L$3:L251)</f>
        <v>69802.4598787428</v>
      </c>
      <c r="O251" s="28">
        <f>SUM($M$3:M251)</f>
        <v>76203.21442350539</v>
      </c>
      <c r="Q251">
        <f>MATCH(C251,Ground!$A$3:$A$1999,1)</f>
        <v>87</v>
      </c>
      <c r="R251">
        <f ca="1">OFFSET(Ground!$A$2,Volume!Q251,0)</f>
        <v>6580</v>
      </c>
      <c r="S251">
        <f ca="1">OFFSET(Ground!$A$2,Volume!Q251,1)</f>
        <v>614.332943</v>
      </c>
      <c r="T251">
        <f ca="1">OFFSET(Ground!$A$2,Volume!Q251+1,0)</f>
        <v>6610</v>
      </c>
      <c r="U251">
        <f ca="1">OFFSET(Ground!$A$2,Volume!Q251+1,1)</f>
        <v>615.624057</v>
      </c>
      <c r="V251" s="26"/>
      <c r="W251">
        <f t="shared" si="53"/>
        <v>-30.183578077212147</v>
      </c>
      <c r="X251">
        <f>IF(Volume!W251&lt;'Temp Calcs'!$E$8,1,0)</f>
        <v>1</v>
      </c>
      <c r="Z251">
        <f t="shared" si="54"/>
        <v>29.38673257218839</v>
      </c>
      <c r="AA251">
        <f>IF(Volume!Z251&gt;'Temp Calcs'!$L$8,1,0)</f>
        <v>1</v>
      </c>
      <c r="AB251" s="6"/>
      <c r="AC251" s="5"/>
    </row>
    <row r="252" spans="1:29" ht="12.75">
      <c r="A252" s="1">
        <v>251</v>
      </c>
      <c r="B252" s="1" t="s">
        <v>20</v>
      </c>
      <c r="C252" s="5">
        <f>Data!C6-Data!F6/2</f>
        <v>6592</v>
      </c>
      <c r="D252" s="6">
        <f>Data!D6-Data!E5/100*Data!F6/2</f>
        <v>614.8706051321333</v>
      </c>
      <c r="E252" s="5">
        <f>Data!E5</f>
        <v>3.8529299119111475</v>
      </c>
      <c r="F252" s="5"/>
      <c r="G252">
        <f aca="true" t="shared" si="64" ref="G252:G271">S252+(U252-S252)*(C252-R252)/(T252-R252)</f>
        <v>614.8493886</v>
      </c>
      <c r="H252" s="8">
        <f aca="true" t="shared" si="65" ref="H252:H271">D252-G252</f>
        <v>0.021216532133280452</v>
      </c>
      <c r="I252" s="30">
        <f>IF(H252&lt;1,(Data!$G$16+14+0.8*Data!$G$17+Data!$G$18*(1-H252))*(1-H252),(Data!$G$16+6+Data!$G$17*(H252-0.6))*(H252-0.6))</f>
        <v>28.538944479913173</v>
      </c>
      <c r="J252" s="28">
        <f t="shared" si="63"/>
        <v>125.4438273819779</v>
      </c>
      <c r="K252" t="str">
        <f aca="true" t="shared" si="66" ref="K252:K271">IF(H252&lt;0.5,"Cut","Fill")</f>
        <v>Cut</v>
      </c>
      <c r="L252" s="28">
        <f aca="true" t="shared" si="67" ref="L252:L271">IF(K252="Cut",J252,0)</f>
        <v>125.4438273819779</v>
      </c>
      <c r="M252" s="28">
        <f aca="true" t="shared" si="68" ref="M252:M271">IF(K252="Fill",J252,0)</f>
        <v>0</v>
      </c>
      <c r="N252" s="28">
        <f>SUM($L$3:L252)</f>
        <v>69927.90370612478</v>
      </c>
      <c r="O252" s="28">
        <f>SUM($M$3:M252)</f>
        <v>76203.21442350539</v>
      </c>
      <c r="Q252">
        <f>MATCH(C252,Ground!$A$3:$A$1999,1)</f>
        <v>87</v>
      </c>
      <c r="R252">
        <f ca="1">OFFSET(Ground!$A$2,Volume!Q252,0)</f>
        <v>6580</v>
      </c>
      <c r="S252">
        <f ca="1">OFFSET(Ground!$A$2,Volume!Q252,1)</f>
        <v>614.332943</v>
      </c>
      <c r="T252">
        <f ca="1">OFFSET(Ground!$A$2,Volume!Q252+1,0)</f>
        <v>6610</v>
      </c>
      <c r="U252">
        <f ca="1">OFFSET(Ground!$A$2,Volume!Q252+1,1)</f>
        <v>615.624057</v>
      </c>
      <c r="V252" s="26"/>
      <c r="W252">
        <f t="shared" si="53"/>
        <v>-30.136031760919984</v>
      </c>
      <c r="X252">
        <f>IF(Volume!W252&lt;'Temp Calcs'!$E$8,1,0)</f>
        <v>1</v>
      </c>
      <c r="Z252">
        <f t="shared" si="54"/>
        <v>29.348144484223237</v>
      </c>
      <c r="AA252">
        <f>IF(Volume!Z252&gt;'Temp Calcs'!$L$8,1,0)</f>
        <v>1</v>
      </c>
      <c r="AB252" s="6"/>
      <c r="AC252" s="5"/>
    </row>
    <row r="253" spans="1:29" ht="12.75">
      <c r="A253" s="1">
        <v>252</v>
      </c>
      <c r="C253" s="7">
        <f>C252+($C$302-$C$252)/50</f>
        <v>6598</v>
      </c>
      <c r="D253" s="8">
        <f aca="true" t="shared" si="69" ref="D253:D301">IF(C$302-C$252&gt;0,D$252+($E$302-$E$252)/100*(C253-$C$252)^2/2/($C$302-$C$252)+$E$252/100*(C253-$C$252),D$252)</f>
        <v>615.0997973358159</v>
      </c>
      <c r="E253" s="7">
        <f aca="true" t="shared" si="70" ref="E253:E271">IF(C$302-C$252&gt;0,$E$252+($E$302-$E$252)*(C253-$C$252)/($C$302-$C$252),E$252)</f>
        <v>3.78681021084133</v>
      </c>
      <c r="F253" s="7"/>
      <c r="G253">
        <f t="shared" si="64"/>
        <v>615.1076114</v>
      </c>
      <c r="H253" s="8">
        <f t="shared" si="65"/>
        <v>-0.007814064184117342</v>
      </c>
      <c r="I253" s="30">
        <f>IF(H253&lt;1,(Data!$G$16+14+0.8*Data!$G$17+Data!$G$18*(1-H253))*(1-H253),(Data!$G$16+6+Data!$G$17*(H253-0.6))*(H253-0.6))</f>
        <v>29.443920921742606</v>
      </c>
      <c r="J253" s="28">
        <f t="shared" si="63"/>
        <v>173.94859620496734</v>
      </c>
      <c r="K253" t="str">
        <f t="shared" si="66"/>
        <v>Cut</v>
      </c>
      <c r="L253" s="28">
        <f t="shared" si="67"/>
        <v>173.94859620496734</v>
      </c>
      <c r="M253" s="28">
        <f t="shared" si="68"/>
        <v>0</v>
      </c>
      <c r="N253" s="28">
        <f>SUM($L$3:L253)</f>
        <v>70101.85230232975</v>
      </c>
      <c r="O253" s="28">
        <f>SUM($M$3:M253)</f>
        <v>76203.21442350539</v>
      </c>
      <c r="Q253">
        <f>MATCH(C253,Ground!$A$3:$A$1999,1)</f>
        <v>87</v>
      </c>
      <c r="R253">
        <f ca="1">OFFSET(Ground!$A$2,Volume!Q253,0)</f>
        <v>6580</v>
      </c>
      <c r="S253">
        <f ca="1">OFFSET(Ground!$A$2,Volume!Q253,1)</f>
        <v>614.332943</v>
      </c>
      <c r="T253">
        <f ca="1">OFFSET(Ground!$A$2,Volume!Q253+1,0)</f>
        <v>6610</v>
      </c>
      <c r="U253">
        <f ca="1">OFFSET(Ground!$A$2,Volume!Q253+1,1)</f>
        <v>615.624057</v>
      </c>
      <c r="V253" s="26"/>
      <c r="W253">
        <f t="shared" si="53"/>
        <v>-30.07736711546354</v>
      </c>
      <c r="X253">
        <f>IF(Volume!W253&lt;'Temp Calcs'!$E$8,1,0)</f>
        <v>1</v>
      </c>
      <c r="Z253">
        <f t="shared" si="54"/>
        <v>29.301160303735198</v>
      </c>
      <c r="AA253">
        <f>IF(Volume!Z253&gt;'Temp Calcs'!$L$8,1,0)</f>
        <v>1</v>
      </c>
      <c r="AB253" s="8"/>
      <c r="AC253" s="7"/>
    </row>
    <row r="254" spans="1:29" ht="12.75">
      <c r="A254" s="1">
        <v>253</v>
      </c>
      <c r="C254" s="7">
        <f aca="true" t="shared" si="71" ref="C254:C301">C253+($C$302-$C$252)/50</f>
        <v>6604</v>
      </c>
      <c r="D254" s="8">
        <f t="shared" si="69"/>
        <v>615.3250223574342</v>
      </c>
      <c r="E254" s="7">
        <f t="shared" si="70"/>
        <v>3.720690509771513</v>
      </c>
      <c r="F254" s="7"/>
      <c r="G254">
        <f t="shared" si="64"/>
        <v>615.3658342</v>
      </c>
      <c r="H254" s="8">
        <f t="shared" si="65"/>
        <v>-0.04081184256574488</v>
      </c>
      <c r="I254" s="30">
        <f>IF(H254&lt;1,(Data!$G$16+14+0.8*Data!$G$17+Data!$G$18*(1-H254))*(1-H254),(Data!$G$16+6+Data!$G$17*(H254-0.6))*(H254-0.6))</f>
        <v>30.476660701038462</v>
      </c>
      <c r="J254" s="28">
        <f t="shared" si="63"/>
        <v>179.76174486834321</v>
      </c>
      <c r="K254" t="str">
        <f t="shared" si="66"/>
        <v>Cut</v>
      </c>
      <c r="L254" s="28">
        <f t="shared" si="67"/>
        <v>179.76174486834321</v>
      </c>
      <c r="M254" s="28">
        <f t="shared" si="68"/>
        <v>0</v>
      </c>
      <c r="N254" s="28">
        <f>SUM($L$3:L254)</f>
        <v>70281.61404719809</v>
      </c>
      <c r="O254" s="28">
        <f>SUM($M$3:M254)</f>
        <v>76203.21442350539</v>
      </c>
      <c r="Q254">
        <f>MATCH(C254,Ground!$A$3:$A$1999,1)</f>
        <v>87</v>
      </c>
      <c r="R254">
        <f ca="1">OFFSET(Ground!$A$2,Volume!Q254,0)</f>
        <v>6580</v>
      </c>
      <c r="S254">
        <f ca="1">OFFSET(Ground!$A$2,Volume!Q254,1)</f>
        <v>614.332943</v>
      </c>
      <c r="T254">
        <f ca="1">OFFSET(Ground!$A$2,Volume!Q254+1,0)</f>
        <v>6610</v>
      </c>
      <c r="U254">
        <f ca="1">OFFSET(Ground!$A$2,Volume!Q254+1,1)</f>
        <v>615.624057</v>
      </c>
      <c r="V254" s="26"/>
      <c r="W254">
        <f t="shared" si="53"/>
        <v>-30.028009477255456</v>
      </c>
      <c r="X254">
        <f>IF(Volume!W254&lt;'Temp Calcs'!$E$8,1,0)</f>
        <v>1</v>
      </c>
      <c r="Z254">
        <f t="shared" si="54"/>
        <v>29.26294840647462</v>
      </c>
      <c r="AA254">
        <f>IF(Volume!Z254&gt;'Temp Calcs'!$L$8,1,0)</f>
        <v>1</v>
      </c>
      <c r="AB254" s="8"/>
      <c r="AC254" s="7"/>
    </row>
    <row r="255" spans="1:29" ht="12.75">
      <c r="A255" s="1">
        <v>254</v>
      </c>
      <c r="C255" s="7">
        <f t="shared" si="71"/>
        <v>6610</v>
      </c>
      <c r="D255" s="8">
        <f t="shared" si="69"/>
        <v>615.5462801969884</v>
      </c>
      <c r="E255" s="7">
        <f t="shared" si="70"/>
        <v>3.6545708087016955</v>
      </c>
      <c r="F255" s="7"/>
      <c r="G255">
        <f t="shared" si="64"/>
        <v>615.624057</v>
      </c>
      <c r="H255" s="8">
        <f t="shared" si="65"/>
        <v>-0.07777680301160217</v>
      </c>
      <c r="I255" s="30">
        <f>IF(H255&lt;1,(Data!$G$16+14+0.8*Data!$G$17+Data!$G$18*(1-H255))*(1-H255),(Data!$G$16+6+Data!$G$17*(H255-0.6))*(H255-0.6))</f>
        <v>31.6387347161354</v>
      </c>
      <c r="J255" s="28">
        <f t="shared" si="63"/>
        <v>186.34618625152157</v>
      </c>
      <c r="K255" t="str">
        <f t="shared" si="66"/>
        <v>Cut</v>
      </c>
      <c r="L255" s="28">
        <f t="shared" si="67"/>
        <v>186.34618625152157</v>
      </c>
      <c r="M255" s="28">
        <f t="shared" si="68"/>
        <v>0</v>
      </c>
      <c r="N255" s="28">
        <f>SUM($L$3:L255)</f>
        <v>70467.96023344962</v>
      </c>
      <c r="O255" s="28">
        <f>SUM($M$3:M255)</f>
        <v>76203.21442350539</v>
      </c>
      <c r="Q255">
        <f>MATCH(C255,Ground!$A$3:$A$1999,1)</f>
        <v>88</v>
      </c>
      <c r="R255">
        <f ca="1">OFFSET(Ground!$A$2,Volume!Q255,0)</f>
        <v>6610</v>
      </c>
      <c r="S255">
        <f ca="1">OFFSET(Ground!$A$2,Volume!Q255,1)</f>
        <v>615.624057</v>
      </c>
      <c r="T255">
        <f ca="1">OFFSET(Ground!$A$2,Volume!Q255+1,0)</f>
        <v>6640</v>
      </c>
      <c r="U255">
        <f ca="1">OFFSET(Ground!$A$2,Volume!Q255+1,1)</f>
        <v>616.858734</v>
      </c>
      <c r="V255" s="26"/>
      <c r="W255">
        <f t="shared" si="53"/>
        <v>-29.987526567670425</v>
      </c>
      <c r="X255">
        <f>IF(Volume!W255&lt;'Temp Calcs'!$E$8,1,0)</f>
        <v>1</v>
      </c>
      <c r="Z255">
        <f t="shared" si="54"/>
        <v>29.23310756766614</v>
      </c>
      <c r="AA255">
        <f>IF(Volume!Z255&gt;'Temp Calcs'!$L$8,1,0)</f>
        <v>1</v>
      </c>
      <c r="AB255" s="8"/>
      <c r="AC255" s="7"/>
    </row>
    <row r="256" spans="1:29" ht="12.75">
      <c r="A256" s="1">
        <v>255</v>
      </c>
      <c r="C256" s="7">
        <f t="shared" si="71"/>
        <v>6616</v>
      </c>
      <c r="D256" s="8">
        <f t="shared" si="69"/>
        <v>615.7635708544784</v>
      </c>
      <c r="E256" s="7">
        <f t="shared" si="70"/>
        <v>3.588451107631878</v>
      </c>
      <c r="F256" s="7"/>
      <c r="G256">
        <f t="shared" si="64"/>
        <v>615.8709924</v>
      </c>
      <c r="H256" s="8">
        <f t="shared" si="65"/>
        <v>-0.1074215455215608</v>
      </c>
      <c r="I256" s="30">
        <f>IF(H256&lt;1,(Data!$G$16+14+0.8*Data!$G$17+Data!$G$18*(1-H256))*(1-H256),(Data!$G$16+6+Data!$G$17*(H256-0.6))*(H256-0.6))</f>
        <v>32.57463099715718</v>
      </c>
      <c r="J256" s="28">
        <f t="shared" si="63"/>
        <v>192.64009713987772</v>
      </c>
      <c r="K256" t="str">
        <f t="shared" si="66"/>
        <v>Cut</v>
      </c>
      <c r="L256" s="28">
        <f t="shared" si="67"/>
        <v>192.64009713987772</v>
      </c>
      <c r="M256" s="28">
        <f t="shared" si="68"/>
        <v>0</v>
      </c>
      <c r="N256" s="28">
        <f>SUM($L$3:L256)</f>
        <v>70660.6003305895</v>
      </c>
      <c r="O256" s="28">
        <f>SUM($M$3:M256)</f>
        <v>76203.21442350539</v>
      </c>
      <c r="Q256">
        <f>MATCH(C256,Ground!$A$3:$A$1999,1)</f>
        <v>88</v>
      </c>
      <c r="R256">
        <f ca="1">OFFSET(Ground!$A$2,Volume!Q256,0)</f>
        <v>6610</v>
      </c>
      <c r="S256">
        <f ca="1">OFFSET(Ground!$A$2,Volume!Q256,1)</f>
        <v>615.624057</v>
      </c>
      <c r="T256">
        <f ca="1">OFFSET(Ground!$A$2,Volume!Q256+1,0)</f>
        <v>6640</v>
      </c>
      <c r="U256">
        <f ca="1">OFFSET(Ground!$A$2,Volume!Q256+1,1)</f>
        <v>616.858734</v>
      </c>
      <c r="V256" s="26"/>
      <c r="W256">
        <f t="shared" si="53"/>
        <v>-29.955523150496532</v>
      </c>
      <c r="X256">
        <f>IF(Volume!W256&lt;'Temp Calcs'!$E$8,1,0)</f>
        <v>1</v>
      </c>
      <c r="Z256">
        <f t="shared" si="54"/>
        <v>29.21127114153991</v>
      </c>
      <c r="AA256">
        <f>IF(Volume!Z256&gt;'Temp Calcs'!$L$8,1,0)</f>
        <v>1</v>
      </c>
      <c r="AB256" s="8"/>
      <c r="AC256" s="7"/>
    </row>
    <row r="257" spans="1:29" ht="12.75">
      <c r="A257" s="1">
        <v>256</v>
      </c>
      <c r="C257" s="7">
        <f t="shared" si="71"/>
        <v>6622</v>
      </c>
      <c r="D257" s="8">
        <f t="shared" si="69"/>
        <v>615.9768943299042</v>
      </c>
      <c r="E257" s="7">
        <f t="shared" si="70"/>
        <v>3.522331406562061</v>
      </c>
      <c r="F257" s="7"/>
      <c r="G257">
        <f t="shared" si="64"/>
        <v>616.1179278</v>
      </c>
      <c r="H257" s="8">
        <f t="shared" si="65"/>
        <v>-0.14103347009574918</v>
      </c>
      <c r="I257" s="30">
        <f>IF(H257&lt;1,(Data!$G$16+14+0.8*Data!$G$17+Data!$G$18*(1-H257))*(1-H257),(Data!$G$16+6+Data!$G$17*(H257-0.6))*(H257-0.6))</f>
        <v>33.64002514636187</v>
      </c>
      <c r="J257" s="28">
        <f t="shared" si="63"/>
        <v>198.64396843055715</v>
      </c>
      <c r="K257" t="str">
        <f t="shared" si="66"/>
        <v>Cut</v>
      </c>
      <c r="L257" s="28">
        <f t="shared" si="67"/>
        <v>198.64396843055715</v>
      </c>
      <c r="M257" s="28">
        <f t="shared" si="68"/>
        <v>0</v>
      </c>
      <c r="N257" s="28">
        <f>SUM($L$3:L257)</f>
        <v>70859.24429902005</v>
      </c>
      <c r="O257" s="28">
        <f>SUM($M$3:M257)</f>
        <v>76203.21442350539</v>
      </c>
      <c r="Q257">
        <f>MATCH(C257,Ground!$A$3:$A$1999,1)</f>
        <v>88</v>
      </c>
      <c r="R257">
        <f ca="1">OFFSET(Ground!$A$2,Volume!Q257,0)</f>
        <v>6610</v>
      </c>
      <c r="S257">
        <f ca="1">OFFSET(Ground!$A$2,Volume!Q257,1)</f>
        <v>615.624057</v>
      </c>
      <c r="T257">
        <f ca="1">OFFSET(Ground!$A$2,Volume!Q257+1,0)</f>
        <v>6640</v>
      </c>
      <c r="U257">
        <f ca="1">OFFSET(Ground!$A$2,Volume!Q257+1,1)</f>
        <v>616.858734</v>
      </c>
      <c r="V257" s="26"/>
      <c r="W257">
        <f t="shared" si="53"/>
        <v>-29.931637563751472</v>
      </c>
      <c r="X257">
        <f>IF(Volume!W257&lt;'Temp Calcs'!$E$8,1,0)</f>
        <v>1</v>
      </c>
      <c r="Z257">
        <f t="shared" si="54"/>
        <v>29.197103829390816</v>
      </c>
      <c r="AA257">
        <f>IF(Volume!Z257&gt;'Temp Calcs'!$L$8,1,0)</f>
        <v>1</v>
      </c>
      <c r="AB257" s="8"/>
      <c r="AC257" s="7"/>
    </row>
    <row r="258" spans="1:29" ht="12.75">
      <c r="A258" s="1">
        <v>257</v>
      </c>
      <c r="C258" s="7">
        <f t="shared" si="71"/>
        <v>6628</v>
      </c>
      <c r="D258" s="8">
        <f t="shared" si="69"/>
        <v>616.1862506232659</v>
      </c>
      <c r="E258" s="7">
        <f t="shared" si="70"/>
        <v>3.4562117054922434</v>
      </c>
      <c r="F258" s="7"/>
      <c r="G258">
        <f t="shared" si="64"/>
        <v>616.3648632000001</v>
      </c>
      <c r="H258" s="8">
        <f t="shared" si="65"/>
        <v>-0.1786125767341673</v>
      </c>
      <c r="I258" s="30">
        <f>IF(H258&lt;1,(Data!$G$16+14+0.8*Data!$G$17+Data!$G$18*(1-H258))*(1-H258),(Data!$G$16+6+Data!$G$17*(H258-0.6))*(H258-0.6))</f>
        <v>34.83651729924126</v>
      </c>
      <c r="J258" s="28">
        <f t="shared" si="63"/>
        <v>205.4296273368094</v>
      </c>
      <c r="K258" t="str">
        <f t="shared" si="66"/>
        <v>Cut</v>
      </c>
      <c r="L258" s="28">
        <f t="shared" si="67"/>
        <v>205.4296273368094</v>
      </c>
      <c r="M258" s="28">
        <f t="shared" si="68"/>
        <v>0</v>
      </c>
      <c r="N258" s="28">
        <f>SUM($L$3:L258)</f>
        <v>71064.67392635686</v>
      </c>
      <c r="O258" s="28">
        <f>SUM($M$3:M258)</f>
        <v>76203.21442350539</v>
      </c>
      <c r="Q258">
        <f>MATCH(C258,Ground!$A$3:$A$1999,1)</f>
        <v>88</v>
      </c>
      <c r="R258">
        <f ca="1">OFFSET(Ground!$A$2,Volume!Q258,0)</f>
        <v>6610</v>
      </c>
      <c r="S258">
        <f ca="1">OFFSET(Ground!$A$2,Volume!Q258,1)</f>
        <v>615.624057</v>
      </c>
      <c r="T258">
        <f ca="1">OFFSET(Ground!$A$2,Volume!Q258+1,0)</f>
        <v>6640</v>
      </c>
      <c r="U258">
        <f ca="1">OFFSET(Ground!$A$2,Volume!Q258+1,1)</f>
        <v>616.858734</v>
      </c>
      <c r="V258" s="26"/>
      <c r="W258">
        <f t="shared" si="53"/>
        <v>-29.915538648011754</v>
      </c>
      <c r="X258">
        <f>IF(Volume!W258&lt;'Temp Calcs'!$E$8,1,0)</f>
        <v>1</v>
      </c>
      <c r="Z258">
        <f t="shared" si="54"/>
        <v>29.190298817356304</v>
      </c>
      <c r="AA258">
        <f>IF(Volume!Z258&gt;'Temp Calcs'!$L$8,1,0)</f>
        <v>1</v>
      </c>
      <c r="AB258" s="8"/>
      <c r="AC258" s="7"/>
    </row>
    <row r="259" spans="1:29" ht="12.75">
      <c r="A259" s="1">
        <v>258</v>
      </c>
      <c r="C259" s="7">
        <f t="shared" si="71"/>
        <v>6634</v>
      </c>
      <c r="D259" s="8">
        <f t="shared" si="69"/>
        <v>616.3916397345633</v>
      </c>
      <c r="E259" s="7">
        <f t="shared" si="70"/>
        <v>3.390092004422426</v>
      </c>
      <c r="F259" s="7"/>
      <c r="G259">
        <f t="shared" si="64"/>
        <v>616.6117986</v>
      </c>
      <c r="H259" s="8">
        <f t="shared" si="65"/>
        <v>-0.2201588654367015</v>
      </c>
      <c r="I259" s="30">
        <f>IF(H259&lt;1,(Data!$G$16+14+0.8*Data!$G$17+Data!$G$18*(1-H259))*(1-H259),(Data!$G$16+6+Data!$G$17*(H259-0.6))*(H259-0.6))</f>
        <v>36.16589645368584</v>
      </c>
      <c r="J259" s="28">
        <f t="shared" si="63"/>
        <v>213.00724125878128</v>
      </c>
      <c r="K259" t="str">
        <f t="shared" si="66"/>
        <v>Cut</v>
      </c>
      <c r="L259" s="28">
        <f t="shared" si="67"/>
        <v>213.00724125878128</v>
      </c>
      <c r="M259" s="28">
        <f t="shared" si="68"/>
        <v>0</v>
      </c>
      <c r="N259" s="28">
        <f>SUM($L$3:L259)</f>
        <v>71277.68116761564</v>
      </c>
      <c r="O259" s="28">
        <f>SUM($M$3:M259)</f>
        <v>76203.21442350539</v>
      </c>
      <c r="Q259">
        <f>MATCH(C259,Ground!$A$3:$A$1999,1)</f>
        <v>88</v>
      </c>
      <c r="R259">
        <f ca="1">OFFSET(Ground!$A$2,Volume!Q259,0)</f>
        <v>6610</v>
      </c>
      <c r="S259">
        <f ca="1">OFFSET(Ground!$A$2,Volume!Q259,1)</f>
        <v>615.624057</v>
      </c>
      <c r="T259">
        <f ca="1">OFFSET(Ground!$A$2,Volume!Q259+1,0)</f>
        <v>6640</v>
      </c>
      <c r="U259">
        <f ca="1">OFFSET(Ground!$A$2,Volume!Q259+1,1)</f>
        <v>616.858734</v>
      </c>
      <c r="V259" s="26"/>
      <c r="W259">
        <f aca="true" t="shared" si="72" ref="W259:W322">($W$1-C259)/(D259-$X$1)</f>
        <v>-29.906923019978528</v>
      </c>
      <c r="X259">
        <f>IF(Volume!W259&lt;'Temp Calcs'!$E$8,1,0)</f>
        <v>1</v>
      </c>
      <c r="Z259">
        <f aca="true" t="shared" si="73" ref="Z259:Z322">(C259-$Z$1)/(D259-$AA$1)</f>
        <v>29.190575236111098</v>
      </c>
      <c r="AA259">
        <f>IF(Volume!Z259&gt;'Temp Calcs'!$L$8,1,0)</f>
        <v>1</v>
      </c>
      <c r="AB259" s="8"/>
      <c r="AC259" s="7"/>
    </row>
    <row r="260" spans="1:29" ht="12.75">
      <c r="A260" s="1">
        <v>259</v>
      </c>
      <c r="C260" s="7">
        <f t="shared" si="71"/>
        <v>6640</v>
      </c>
      <c r="D260" s="8">
        <f t="shared" si="69"/>
        <v>616.5930616637966</v>
      </c>
      <c r="E260" s="7">
        <f t="shared" si="70"/>
        <v>3.3239723033526087</v>
      </c>
      <c r="F260" s="7"/>
      <c r="G260">
        <f t="shared" si="64"/>
        <v>616.858734</v>
      </c>
      <c r="H260" s="8">
        <f t="shared" si="65"/>
        <v>-0.2656723362034654</v>
      </c>
      <c r="I260" s="30">
        <f>IF(H260&lt;1,(Data!$G$16+14+0.8*Data!$G$17+Data!$G$18*(1-H260))*(1-H260),(Data!$G$16+6+Data!$G$17*(H260-0.6))*(H260-0.6))</f>
        <v>37.63014046999574</v>
      </c>
      <c r="J260" s="28">
        <f t="shared" si="63"/>
        <v>221.38811077104475</v>
      </c>
      <c r="K260" t="str">
        <f t="shared" si="66"/>
        <v>Cut</v>
      </c>
      <c r="L260" s="28">
        <f t="shared" si="67"/>
        <v>221.38811077104475</v>
      </c>
      <c r="M260" s="28">
        <f t="shared" si="68"/>
        <v>0</v>
      </c>
      <c r="N260" s="28">
        <f>SUM($L$3:L260)</f>
        <v>71499.06927838668</v>
      </c>
      <c r="O260" s="28">
        <f>SUM($M$3:M260)</f>
        <v>76203.21442350539</v>
      </c>
      <c r="Q260">
        <f>MATCH(C260,Ground!$A$3:$A$1999,1)</f>
        <v>89</v>
      </c>
      <c r="R260">
        <f ca="1">OFFSET(Ground!$A$2,Volume!Q260,0)</f>
        <v>6640</v>
      </c>
      <c r="S260">
        <f ca="1">OFFSET(Ground!$A$2,Volume!Q260,1)</f>
        <v>616.858734</v>
      </c>
      <c r="T260">
        <f ca="1">OFFSET(Ground!$A$2,Volume!Q260+1,0)</f>
        <v>6670</v>
      </c>
      <c r="U260">
        <f ca="1">OFFSET(Ground!$A$2,Volume!Q260+1,1)</f>
        <v>617.836151</v>
      </c>
      <c r="V260" s="26"/>
      <c r="W260">
        <f t="shared" si="72"/>
        <v>-29.905512647469557</v>
      </c>
      <c r="X260">
        <f>IF(Volume!W260&lt;'Temp Calcs'!$E$8,1,0)</f>
        <v>1</v>
      </c>
      <c r="Z260">
        <f t="shared" si="73"/>
        <v>29.197675901637027</v>
      </c>
      <c r="AA260">
        <f>IF(Volume!Z260&gt;'Temp Calcs'!$L$8,1,0)</f>
        <v>1</v>
      </c>
      <c r="AB260" s="8"/>
      <c r="AC260" s="7"/>
    </row>
    <row r="261" spans="1:29" ht="12.75">
      <c r="A261" s="1">
        <v>260</v>
      </c>
      <c r="C261" s="7">
        <f t="shared" si="71"/>
        <v>6646</v>
      </c>
      <c r="D261" s="8">
        <f t="shared" si="69"/>
        <v>616.7905164109657</v>
      </c>
      <c r="E261" s="7">
        <f t="shared" si="70"/>
        <v>3.2578526022827914</v>
      </c>
      <c r="F261" s="7"/>
      <c r="G261">
        <f t="shared" si="64"/>
        <v>617.0542174</v>
      </c>
      <c r="H261" s="8">
        <f t="shared" si="65"/>
        <v>-0.26370098903430517</v>
      </c>
      <c r="I261" s="30">
        <f>IF(H261&lt;1,(Data!$G$16+14+0.8*Data!$G$17+Data!$G$18*(1-H261))*(1-H261),(Data!$G$16+6+Data!$G$17*(H261-0.6))*(H261-0.6))</f>
        <v>37.56654728110566</v>
      </c>
      <c r="J261" s="28">
        <f t="shared" si="63"/>
        <v>225.59006325330418</v>
      </c>
      <c r="K261" t="str">
        <f t="shared" si="66"/>
        <v>Cut</v>
      </c>
      <c r="L261" s="28">
        <f t="shared" si="67"/>
        <v>225.59006325330418</v>
      </c>
      <c r="M261" s="28">
        <f t="shared" si="68"/>
        <v>0</v>
      </c>
      <c r="N261" s="28">
        <f>SUM($L$3:L261)</f>
        <v>71724.65934163998</v>
      </c>
      <c r="O261" s="28">
        <f>SUM($M$3:M261)</f>
        <v>76203.21442350539</v>
      </c>
      <c r="Q261">
        <f>MATCH(C261,Ground!$A$3:$A$1999,1)</f>
        <v>89</v>
      </c>
      <c r="R261">
        <f ca="1">OFFSET(Ground!$A$2,Volume!Q261,0)</f>
        <v>6640</v>
      </c>
      <c r="S261">
        <f ca="1">OFFSET(Ground!$A$2,Volume!Q261,1)</f>
        <v>616.858734</v>
      </c>
      <c r="T261">
        <f ca="1">OFFSET(Ground!$A$2,Volume!Q261+1,0)</f>
        <v>6670</v>
      </c>
      <c r="U261">
        <f ca="1">OFFSET(Ground!$A$2,Volume!Q261+1,1)</f>
        <v>617.836151</v>
      </c>
      <c r="V261" s="26"/>
      <c r="W261">
        <f t="shared" si="72"/>
        <v>-29.911052688303005</v>
      </c>
      <c r="X261">
        <f>IF(Volume!W261&lt;'Temp Calcs'!$E$8,1,0)</f>
        <v>1</v>
      </c>
      <c r="Z261">
        <f t="shared" si="73"/>
        <v>29.211365302077862</v>
      </c>
      <c r="AA261">
        <f>IF(Volume!Z261&gt;'Temp Calcs'!$L$8,1,0)</f>
        <v>1</v>
      </c>
      <c r="AB261" s="8"/>
      <c r="AC261" s="7"/>
    </row>
    <row r="262" spans="1:29" ht="12.75">
      <c r="A262" s="1">
        <v>261</v>
      </c>
      <c r="C262" s="7">
        <f t="shared" si="71"/>
        <v>6652</v>
      </c>
      <c r="D262" s="8">
        <f t="shared" si="69"/>
        <v>616.9840039760705</v>
      </c>
      <c r="E262" s="7">
        <f t="shared" si="70"/>
        <v>3.191732901212974</v>
      </c>
      <c r="F262" s="7"/>
      <c r="G262">
        <f t="shared" si="64"/>
        <v>617.2497008</v>
      </c>
      <c r="H262" s="8">
        <f t="shared" si="65"/>
        <v>-0.26569682392948835</v>
      </c>
      <c r="I262" s="30">
        <f>IF(H262&lt;1,(Data!$G$16+14+0.8*Data!$G$17+Data!$G$18*(1-H262))*(1-H262),(Data!$G$16+6+Data!$G$17*(H262-0.6))*(H262-0.6))</f>
        <v>37.63093051109247</v>
      </c>
      <c r="J262" s="28">
        <f t="shared" si="63"/>
        <v>225.59243337659439</v>
      </c>
      <c r="K262" t="str">
        <f t="shared" si="66"/>
        <v>Cut</v>
      </c>
      <c r="L262" s="28">
        <f t="shared" si="67"/>
        <v>225.59243337659439</v>
      </c>
      <c r="M262" s="28">
        <f t="shared" si="68"/>
        <v>0</v>
      </c>
      <c r="N262" s="28">
        <f>SUM($L$3:L262)</f>
        <v>71950.25177501659</v>
      </c>
      <c r="O262" s="28">
        <f>SUM($M$3:M262)</f>
        <v>76203.21442350539</v>
      </c>
      <c r="Q262">
        <f>MATCH(C262,Ground!$A$3:$A$1999,1)</f>
        <v>89</v>
      </c>
      <c r="R262">
        <f ca="1">OFFSET(Ground!$A$2,Volume!Q262,0)</f>
        <v>6640</v>
      </c>
      <c r="S262">
        <f ca="1">OFFSET(Ground!$A$2,Volume!Q262,1)</f>
        <v>616.858734</v>
      </c>
      <c r="T262">
        <f ca="1">OFFSET(Ground!$A$2,Volume!Q262+1,0)</f>
        <v>6670</v>
      </c>
      <c r="U262">
        <f ca="1">OFFSET(Ground!$A$2,Volume!Q262+1,1)</f>
        <v>617.836151</v>
      </c>
      <c r="V262" s="26"/>
      <c r="W262">
        <f t="shared" si="72"/>
        <v>-29.923309560816985</v>
      </c>
      <c r="X262">
        <f>IF(Volume!W262&lt;'Temp Calcs'!$E$8,1,0)</f>
        <v>1</v>
      </c>
      <c r="Z262">
        <f t="shared" si="73"/>
        <v>29.231427800610035</v>
      </c>
      <c r="AA262">
        <f>IF(Volume!Z262&gt;'Temp Calcs'!$L$8,1,0)</f>
        <v>1</v>
      </c>
      <c r="AB262" s="8"/>
      <c r="AC262" s="7"/>
    </row>
    <row r="263" spans="1:29" ht="12.75">
      <c r="A263" s="1">
        <v>262</v>
      </c>
      <c r="C263" s="7">
        <f t="shared" si="71"/>
        <v>6658</v>
      </c>
      <c r="D263" s="8">
        <f t="shared" si="69"/>
        <v>617.1735243591112</v>
      </c>
      <c r="E263" s="7">
        <f t="shared" si="70"/>
        <v>3.1256132001431567</v>
      </c>
      <c r="F263" s="7"/>
      <c r="G263">
        <f t="shared" si="64"/>
        <v>617.4451842</v>
      </c>
      <c r="H263" s="8">
        <f t="shared" si="65"/>
        <v>-0.2716598408887876</v>
      </c>
      <c r="I263" s="30">
        <f>IF(H263&lt;1,(Data!$G$16+14+0.8*Data!$G$17+Data!$G$18*(1-H263))*(1-H263),(Data!$G$16+6+Data!$G$17*(H263-0.6))*(H263-0.6))</f>
        <v>37.82338517403362</v>
      </c>
      <c r="J263" s="28">
        <f t="shared" si="63"/>
        <v>226.36294705537827</v>
      </c>
      <c r="K263" t="str">
        <f t="shared" si="66"/>
        <v>Cut</v>
      </c>
      <c r="L263" s="28">
        <f t="shared" si="67"/>
        <v>226.36294705537827</v>
      </c>
      <c r="M263" s="28">
        <f t="shared" si="68"/>
        <v>0</v>
      </c>
      <c r="N263" s="28">
        <f>SUM($L$3:L263)</f>
        <v>72176.61472207196</v>
      </c>
      <c r="O263" s="28">
        <f>SUM($M$3:M263)</f>
        <v>76203.21442350539</v>
      </c>
      <c r="Q263">
        <f>MATCH(C263,Ground!$A$3:$A$1999,1)</f>
        <v>89</v>
      </c>
      <c r="R263">
        <f ca="1">OFFSET(Ground!$A$2,Volume!Q263,0)</f>
        <v>6640</v>
      </c>
      <c r="S263">
        <f ca="1">OFFSET(Ground!$A$2,Volume!Q263,1)</f>
        <v>616.858734</v>
      </c>
      <c r="T263">
        <f ca="1">OFFSET(Ground!$A$2,Volume!Q263+1,0)</f>
        <v>6670</v>
      </c>
      <c r="U263">
        <f ca="1">OFFSET(Ground!$A$2,Volume!Q263+1,1)</f>
        <v>617.836151</v>
      </c>
      <c r="V263" s="26"/>
      <c r="W263">
        <f t="shared" si="72"/>
        <v>-29.94206921822832</v>
      </c>
      <c r="X263">
        <f>IF(Volume!W263&lt;'Temp Calcs'!$E$8,1,0)</f>
        <v>1</v>
      </c>
      <c r="Z263">
        <f t="shared" si="73"/>
        <v>29.257666028417578</v>
      </c>
      <c r="AA263">
        <f>IF(Volume!Z263&gt;'Temp Calcs'!$L$8,1,0)</f>
        <v>1</v>
      </c>
      <c r="AB263" s="8"/>
      <c r="AC263" s="7"/>
    </row>
    <row r="264" spans="1:29" ht="12.75">
      <c r="A264" s="1">
        <v>263</v>
      </c>
      <c r="C264" s="7">
        <f t="shared" si="71"/>
        <v>6664</v>
      </c>
      <c r="D264" s="8">
        <f t="shared" si="69"/>
        <v>617.3590775600877</v>
      </c>
      <c r="E264" s="7">
        <f t="shared" si="70"/>
        <v>3.059493499073339</v>
      </c>
      <c r="F264" s="7"/>
      <c r="G264">
        <f t="shared" si="64"/>
        <v>617.6406676</v>
      </c>
      <c r="H264" s="8">
        <f t="shared" si="65"/>
        <v>-0.28159003991231657</v>
      </c>
      <c r="I264" s="30">
        <f>IF(H264&lt;1,(Data!$G$16+14+0.8*Data!$G$17+Data!$G$18*(1-H264))*(1-H264),(Data!$G$16+6+Data!$G$17*(H264-0.6))*(H264-0.6))</f>
        <v>38.14419514641992</v>
      </c>
      <c r="J264" s="28">
        <f t="shared" si="63"/>
        <v>227.90274096136062</v>
      </c>
      <c r="K264" t="str">
        <f t="shared" si="66"/>
        <v>Cut</v>
      </c>
      <c r="L264" s="28">
        <f t="shared" si="67"/>
        <v>227.90274096136062</v>
      </c>
      <c r="M264" s="28">
        <f t="shared" si="68"/>
        <v>0</v>
      </c>
      <c r="N264" s="28">
        <f>SUM($L$3:L264)</f>
        <v>72404.51746303332</v>
      </c>
      <c r="O264" s="28">
        <f>SUM($M$3:M264)</f>
        <v>76203.21442350539</v>
      </c>
      <c r="Q264">
        <f>MATCH(C264,Ground!$A$3:$A$1999,1)</f>
        <v>89</v>
      </c>
      <c r="R264">
        <f ca="1">OFFSET(Ground!$A$2,Volume!Q264,0)</f>
        <v>6640</v>
      </c>
      <c r="S264">
        <f ca="1">OFFSET(Ground!$A$2,Volume!Q264,1)</f>
        <v>616.858734</v>
      </c>
      <c r="T264">
        <f ca="1">OFFSET(Ground!$A$2,Volume!Q264+1,0)</f>
        <v>6670</v>
      </c>
      <c r="U264">
        <f ca="1">OFFSET(Ground!$A$2,Volume!Q264+1,1)</f>
        <v>617.836151</v>
      </c>
      <c r="V264" s="26"/>
      <c r="W264">
        <f t="shared" si="72"/>
        <v>-29.96713560281808</v>
      </c>
      <c r="X264">
        <f>IF(Volume!W264&lt;'Temp Calcs'!$E$8,1,0)</f>
        <v>1</v>
      </c>
      <c r="Z264">
        <f t="shared" si="73"/>
        <v>29.289899445387963</v>
      </c>
      <c r="AA264">
        <f>IF(Volume!Z264&gt;'Temp Calcs'!$L$8,1,0)</f>
        <v>1</v>
      </c>
      <c r="AB264" s="8"/>
      <c r="AC264" s="7"/>
    </row>
    <row r="265" spans="1:29" ht="12.75">
      <c r="A265" s="1">
        <v>264</v>
      </c>
      <c r="C265" s="7">
        <f t="shared" si="71"/>
        <v>6670</v>
      </c>
      <c r="D265" s="8">
        <f t="shared" si="69"/>
        <v>617.540663579</v>
      </c>
      <c r="E265" s="7">
        <f t="shared" si="70"/>
        <v>2.993373798003522</v>
      </c>
      <c r="F265" s="7"/>
      <c r="G265">
        <f t="shared" si="64"/>
        <v>617.836151</v>
      </c>
      <c r="H265" s="8">
        <f t="shared" si="65"/>
        <v>-0.2954874209999616</v>
      </c>
      <c r="I265" s="30">
        <f>IF(H265&lt;1,(Data!$G$16+14+0.8*Data!$G$17+Data!$G$18*(1-H265))*(1-H265),(Data!$G$16+6+Data!$G$17*(H265-0.6))*(H265-0.6))</f>
        <v>38.59383316713722</v>
      </c>
      <c r="J265" s="28">
        <f t="shared" si="63"/>
        <v>230.2140849406714</v>
      </c>
      <c r="K265" t="str">
        <f t="shared" si="66"/>
        <v>Cut</v>
      </c>
      <c r="L265" s="28">
        <f t="shared" si="67"/>
        <v>230.2140849406714</v>
      </c>
      <c r="M265" s="28">
        <f t="shared" si="68"/>
        <v>0</v>
      </c>
      <c r="N265" s="28">
        <f>SUM($L$3:L265)</f>
        <v>72634.73154797399</v>
      </c>
      <c r="O265" s="28">
        <f>SUM($M$3:M265)</f>
        <v>76203.21442350539</v>
      </c>
      <c r="Q265">
        <f>MATCH(C265,Ground!$A$3:$A$1999,1)</f>
        <v>90</v>
      </c>
      <c r="R265">
        <f ca="1">OFFSET(Ground!$A$2,Volume!Q265,0)</f>
        <v>6670</v>
      </c>
      <c r="S265">
        <f ca="1">OFFSET(Ground!$A$2,Volume!Q265,1)</f>
        <v>617.836151</v>
      </c>
      <c r="T265">
        <f ca="1">OFFSET(Ground!$A$2,Volume!Q265+1,0)</f>
        <v>6700</v>
      </c>
      <c r="U265">
        <f ca="1">OFFSET(Ground!$A$2,Volume!Q265+1,1)</f>
        <v>618.602482</v>
      </c>
      <c r="V265" s="26"/>
      <c r="W265">
        <f t="shared" si="72"/>
        <v>-29.99832925914344</v>
      </c>
      <c r="X265">
        <f>IF(Volume!W265&lt;'Temp Calcs'!$E$8,1,0)</f>
        <v>1</v>
      </c>
      <c r="Z265">
        <f t="shared" si="73"/>
        <v>29.32796304914005</v>
      </c>
      <c r="AA265">
        <f>IF(Volume!Z265&gt;'Temp Calcs'!$L$8,1,0)</f>
        <v>1</v>
      </c>
      <c r="AB265" s="8"/>
      <c r="AC265" s="7"/>
    </row>
    <row r="266" spans="1:29" ht="12.75">
      <c r="A266" s="1">
        <v>265</v>
      </c>
      <c r="C266" s="7">
        <f t="shared" si="71"/>
        <v>6676</v>
      </c>
      <c r="D266" s="8">
        <f t="shared" si="69"/>
        <v>617.7182824158481</v>
      </c>
      <c r="E266" s="7">
        <f t="shared" si="70"/>
        <v>2.927254096933704</v>
      </c>
      <c r="F266" s="7"/>
      <c r="G266">
        <f t="shared" si="64"/>
        <v>617.9894171999999</v>
      </c>
      <c r="H266" s="8">
        <f t="shared" si="65"/>
        <v>-0.27113478415185455</v>
      </c>
      <c r="I266" s="30">
        <f>IF(H266&lt;1,(Data!$G$16+14+0.8*Data!$G$17+Data!$G$18*(1-H266))*(1-H266),(Data!$G$16+6+Data!$G$17*(H266-0.6))*(H266-0.6))</f>
        <v>37.80643340789201</v>
      </c>
      <c r="J266" s="28">
        <f t="shared" si="63"/>
        <v>229.2007997250877</v>
      </c>
      <c r="K266" t="str">
        <f t="shared" si="66"/>
        <v>Cut</v>
      </c>
      <c r="L266" s="28">
        <f t="shared" si="67"/>
        <v>229.2007997250877</v>
      </c>
      <c r="M266" s="28">
        <f t="shared" si="68"/>
        <v>0</v>
      </c>
      <c r="N266" s="28">
        <f>SUM($L$3:L266)</f>
        <v>72863.93234769908</v>
      </c>
      <c r="O266" s="28">
        <f>SUM($M$3:M266)</f>
        <v>76203.21442350539</v>
      </c>
      <c r="Q266">
        <f>MATCH(C266,Ground!$A$3:$A$1999,1)</f>
        <v>90</v>
      </c>
      <c r="R266">
        <f ca="1">OFFSET(Ground!$A$2,Volume!Q266,0)</f>
        <v>6670</v>
      </c>
      <c r="S266">
        <f ca="1">OFFSET(Ground!$A$2,Volume!Q266,1)</f>
        <v>617.836151</v>
      </c>
      <c r="T266">
        <f ca="1">OFFSET(Ground!$A$2,Volume!Q266+1,0)</f>
        <v>6700</v>
      </c>
      <c r="U266">
        <f ca="1">OFFSET(Ground!$A$2,Volume!Q266+1,1)</f>
        <v>618.602482</v>
      </c>
      <c r="V266" s="26"/>
      <c r="W266">
        <f t="shared" si="72"/>
        <v>-30.035486088213478</v>
      </c>
      <c r="X266">
        <f>IF(Volume!W266&lt;'Temp Calcs'!$E$8,1,0)</f>
        <v>1</v>
      </c>
      <c r="Z266">
        <f t="shared" si="73"/>
        <v>29.371706215548123</v>
      </c>
      <c r="AA266">
        <f>IF(Volume!Z266&gt;'Temp Calcs'!$L$8,1,0)</f>
        <v>1</v>
      </c>
      <c r="AB266" s="8"/>
      <c r="AC266" s="7"/>
    </row>
    <row r="267" spans="1:29" ht="12.75">
      <c r="A267" s="1">
        <v>266</v>
      </c>
      <c r="C267" s="7">
        <f t="shared" si="71"/>
        <v>6682</v>
      </c>
      <c r="D267" s="8">
        <f t="shared" si="69"/>
        <v>617.891934070632</v>
      </c>
      <c r="E267" s="7">
        <f t="shared" si="70"/>
        <v>2.8611343958638873</v>
      </c>
      <c r="F267" s="7"/>
      <c r="G267">
        <f t="shared" si="64"/>
        <v>618.1426834</v>
      </c>
      <c r="H267" s="8">
        <f t="shared" si="65"/>
        <v>-0.2507493293679772</v>
      </c>
      <c r="I267" s="30">
        <f>IF(H267&lt;1,(Data!$G$16+14+0.8*Data!$G$17+Data!$G$18*(1-H267))*(1-H267),(Data!$G$16+6+Data!$G$17*(H267-0.6))*(H267-0.6))</f>
        <v>37.14912952863787</v>
      </c>
      <c r="J267" s="28">
        <f t="shared" si="63"/>
        <v>224.86668880958962</v>
      </c>
      <c r="K267" t="str">
        <f t="shared" si="66"/>
        <v>Cut</v>
      </c>
      <c r="L267" s="28">
        <f t="shared" si="67"/>
        <v>224.86668880958962</v>
      </c>
      <c r="M267" s="28">
        <f t="shared" si="68"/>
        <v>0</v>
      </c>
      <c r="N267" s="28">
        <f>SUM($L$3:L267)</f>
        <v>73088.79903650867</v>
      </c>
      <c r="O267" s="28">
        <f>SUM($M$3:M267)</f>
        <v>76203.21442350539</v>
      </c>
      <c r="Q267">
        <f>MATCH(C267,Ground!$A$3:$A$1999,1)</f>
        <v>90</v>
      </c>
      <c r="R267">
        <f ca="1">OFFSET(Ground!$A$2,Volume!Q267,0)</f>
        <v>6670</v>
      </c>
      <c r="S267">
        <f ca="1">OFFSET(Ground!$A$2,Volume!Q267,1)</f>
        <v>617.836151</v>
      </c>
      <c r="T267">
        <f ca="1">OFFSET(Ground!$A$2,Volume!Q267+1,0)</f>
        <v>6700</v>
      </c>
      <c r="U267">
        <f ca="1">OFFSET(Ground!$A$2,Volume!Q267+1,1)</f>
        <v>618.602482</v>
      </c>
      <c r="V267" s="26"/>
      <c r="W267">
        <f t="shared" si="72"/>
        <v>-30.07845622691255</v>
      </c>
      <c r="X267">
        <f>IF(Volume!W267&lt;'Temp Calcs'!$E$8,1,0)</f>
        <v>1</v>
      </c>
      <c r="Z267">
        <f t="shared" si="73"/>
        <v>29.420991656113536</v>
      </c>
      <c r="AA267">
        <f>IF(Volume!Z267&gt;'Temp Calcs'!$L$8,1,0)</f>
        <v>1</v>
      </c>
      <c r="AB267" s="8"/>
      <c r="AC267" s="7"/>
    </row>
    <row r="268" spans="1:29" ht="12.75">
      <c r="A268" s="1">
        <v>267</v>
      </c>
      <c r="C268" s="7">
        <f t="shared" si="71"/>
        <v>6688</v>
      </c>
      <c r="D268" s="8">
        <f t="shared" si="69"/>
        <v>618.0616185433518</v>
      </c>
      <c r="E268" s="7">
        <f t="shared" si="70"/>
        <v>2.7950146947940695</v>
      </c>
      <c r="F268" s="7"/>
      <c r="G268">
        <f t="shared" si="64"/>
        <v>618.2959496</v>
      </c>
      <c r="H268" s="8">
        <f t="shared" si="65"/>
        <v>-0.23433105664821596</v>
      </c>
      <c r="I268" s="30">
        <f>IF(H268&lt;1,(Data!$G$16+14+0.8*Data!$G$17+Data!$G$18*(1-H268))*(1-H268),(Data!$G$16+6+Data!$G$17*(H268-0.6))*(H268-0.6))</f>
        <v>36.62095105564408</v>
      </c>
      <c r="J268" s="28">
        <f t="shared" si="63"/>
        <v>221.31024175284583</v>
      </c>
      <c r="K268" t="str">
        <f t="shared" si="66"/>
        <v>Cut</v>
      </c>
      <c r="L268" s="28">
        <f t="shared" si="67"/>
        <v>221.31024175284583</v>
      </c>
      <c r="M268" s="28">
        <f t="shared" si="68"/>
        <v>0</v>
      </c>
      <c r="N268" s="28">
        <f>SUM($L$3:L268)</f>
        <v>73310.10927826152</v>
      </c>
      <c r="O268" s="28">
        <f>SUM($M$3:M268)</f>
        <v>76203.21442350539</v>
      </c>
      <c r="Q268">
        <f>MATCH(C268,Ground!$A$3:$A$1999,1)</f>
        <v>90</v>
      </c>
      <c r="R268">
        <f ca="1">OFFSET(Ground!$A$2,Volume!Q268,0)</f>
        <v>6670</v>
      </c>
      <c r="S268">
        <f ca="1">OFFSET(Ground!$A$2,Volume!Q268,1)</f>
        <v>617.836151</v>
      </c>
      <c r="T268">
        <f ca="1">OFFSET(Ground!$A$2,Volume!Q268+1,0)</f>
        <v>6700</v>
      </c>
      <c r="U268">
        <f ca="1">OFFSET(Ground!$A$2,Volume!Q268+1,1)</f>
        <v>618.602482</v>
      </c>
      <c r="V268" s="26"/>
      <c r="W268">
        <f t="shared" si="72"/>
        <v>-30.127103038961348</v>
      </c>
      <c r="X268">
        <f>IF(Volume!W268&lt;'Temp Calcs'!$E$8,1,0)</f>
        <v>1</v>
      </c>
      <c r="Z268">
        <f t="shared" si="73"/>
        <v>29.475694479406155</v>
      </c>
      <c r="AA268">
        <f>IF(Volume!Z268&gt;'Temp Calcs'!$L$8,1,0)</f>
        <v>1</v>
      </c>
      <c r="AB268" s="8"/>
      <c r="AC268" s="7"/>
    </row>
    <row r="269" spans="1:29" ht="12.75">
      <c r="A269" s="1">
        <v>268</v>
      </c>
      <c r="C269" s="7">
        <f t="shared" si="71"/>
        <v>6694</v>
      </c>
      <c r="D269" s="8">
        <f t="shared" si="69"/>
        <v>618.2273358340072</v>
      </c>
      <c r="E269" s="7">
        <f t="shared" si="70"/>
        <v>2.728894993724252</v>
      </c>
      <c r="F269" s="7"/>
      <c r="G269">
        <f t="shared" si="64"/>
        <v>618.4492158</v>
      </c>
      <c r="H269" s="8">
        <f t="shared" si="65"/>
        <v>-0.22187996599279813</v>
      </c>
      <c r="I269" s="30">
        <f>IF(H269&lt;1,(Data!$G$16+14+0.8*Data!$G$17+Data!$G$18*(1-H269))*(1-H269),(Data!$G$16+6+Data!$G$17*(H269-0.6))*(H269-0.6))</f>
        <v>36.22111637759323</v>
      </c>
      <c r="J269" s="28">
        <f t="shared" si="63"/>
        <v>218.5262022997119</v>
      </c>
      <c r="K269" t="str">
        <f t="shared" si="66"/>
        <v>Cut</v>
      </c>
      <c r="L269" s="28">
        <f t="shared" si="67"/>
        <v>218.5262022997119</v>
      </c>
      <c r="M269" s="28">
        <f t="shared" si="68"/>
        <v>0</v>
      </c>
      <c r="N269" s="28">
        <f>SUM($L$3:L269)</f>
        <v>73528.63548056122</v>
      </c>
      <c r="O269" s="28">
        <f>SUM($M$3:M269)</f>
        <v>76203.21442350539</v>
      </c>
      <c r="Q269">
        <f>MATCH(C269,Ground!$A$3:$A$1999,1)</f>
        <v>90</v>
      </c>
      <c r="R269">
        <f ca="1">OFFSET(Ground!$A$2,Volume!Q269,0)</f>
        <v>6670</v>
      </c>
      <c r="S269">
        <f ca="1">OFFSET(Ground!$A$2,Volume!Q269,1)</f>
        <v>617.836151</v>
      </c>
      <c r="T269">
        <f ca="1">OFFSET(Ground!$A$2,Volume!Q269+1,0)</f>
        <v>6700</v>
      </c>
      <c r="U269">
        <f ca="1">OFFSET(Ground!$A$2,Volume!Q269+1,1)</f>
        <v>618.602482</v>
      </c>
      <c r="V269" s="26"/>
      <c r="W269">
        <f t="shared" si="72"/>
        <v>-30.18130220543045</v>
      </c>
      <c r="X269">
        <f>IF(Volume!W269&lt;'Temp Calcs'!$E$8,1,0)</f>
        <v>1</v>
      </c>
      <c r="Z269">
        <f t="shared" si="73"/>
        <v>29.535701345405908</v>
      </c>
      <c r="AA269">
        <f>IF(Volume!Z269&gt;'Temp Calcs'!$L$8,1,0)</f>
        <v>1</v>
      </c>
      <c r="AB269" s="8"/>
      <c r="AC269" s="7"/>
    </row>
    <row r="270" spans="1:29" ht="12.75">
      <c r="A270" s="1">
        <v>269</v>
      </c>
      <c r="C270" s="7">
        <f t="shared" si="71"/>
        <v>6700</v>
      </c>
      <c r="D270" s="8">
        <f t="shared" si="69"/>
        <v>618.3890859425987</v>
      </c>
      <c r="E270" s="7">
        <f t="shared" si="70"/>
        <v>2.662775292654435</v>
      </c>
      <c r="F270" s="7"/>
      <c r="G270">
        <f t="shared" si="64"/>
        <v>618.602482</v>
      </c>
      <c r="H270" s="8">
        <f t="shared" si="65"/>
        <v>-0.213396057401269</v>
      </c>
      <c r="I270" s="30">
        <f>IF(H270&lt;1,(Data!$G$16+14+0.8*Data!$G$17+Data!$G$18*(1-H270))*(1-H270),(Data!$G$16+6+Data!$G$17*(H270-0.6))*(H270-0.6))</f>
        <v>35.9490327455484</v>
      </c>
      <c r="J270" s="28">
        <f t="shared" si="63"/>
        <v>216.51044736942492</v>
      </c>
      <c r="K270" t="str">
        <f t="shared" si="66"/>
        <v>Cut</v>
      </c>
      <c r="L270" s="28">
        <f t="shared" si="67"/>
        <v>216.51044736942492</v>
      </c>
      <c r="M270" s="28">
        <f t="shared" si="68"/>
        <v>0</v>
      </c>
      <c r="N270" s="28">
        <f>SUM($L$3:L270)</f>
        <v>73745.14592793064</v>
      </c>
      <c r="O270" s="28">
        <f>SUM($M$3:M270)</f>
        <v>76203.21442350539</v>
      </c>
      <c r="Q270">
        <f>MATCH(C270,Ground!$A$3:$A$1999,1)</f>
        <v>91</v>
      </c>
      <c r="R270">
        <f ca="1">OFFSET(Ground!$A$2,Volume!Q270,0)</f>
        <v>6700</v>
      </c>
      <c r="S270">
        <f ca="1">OFFSET(Ground!$A$2,Volume!Q270,1)</f>
        <v>618.602482</v>
      </c>
      <c r="T270">
        <f ca="1">OFFSET(Ground!$A$2,Volume!Q270+1,0)</f>
        <v>6730</v>
      </c>
      <c r="U270">
        <f ca="1">OFFSET(Ground!$A$2,Volume!Q270+1,1)</f>
        <v>619.291053</v>
      </c>
      <c r="V270" s="26"/>
      <c r="W270">
        <f t="shared" si="72"/>
        <v>-30.240940904312215</v>
      </c>
      <c r="X270">
        <f>IF(Volume!W270&lt;'Temp Calcs'!$E$8,1,0)</f>
        <v>1</v>
      </c>
      <c r="Z270">
        <f t="shared" si="73"/>
        <v>29.600909702965193</v>
      </c>
      <c r="AA270">
        <f>IF(Volume!Z270&gt;'Temp Calcs'!$L$8,1,0)</f>
        <v>1</v>
      </c>
      <c r="AB270" s="8"/>
      <c r="AC270" s="7"/>
    </row>
    <row r="271" spans="1:29" ht="12.75">
      <c r="A271" s="1">
        <v>270</v>
      </c>
      <c r="C271" s="7">
        <f t="shared" si="71"/>
        <v>6706</v>
      </c>
      <c r="D271" s="8">
        <f t="shared" si="69"/>
        <v>618.5468688691259</v>
      </c>
      <c r="E271" s="7">
        <f t="shared" si="70"/>
        <v>2.5966555915846175</v>
      </c>
      <c r="F271" s="7"/>
      <c r="G271">
        <f t="shared" si="64"/>
        <v>618.7401962</v>
      </c>
      <c r="H271" s="8">
        <f t="shared" si="65"/>
        <v>-0.19332733087412635</v>
      </c>
      <c r="I271" s="30">
        <f>IF(H271&lt;1,(Data!$G$16+14+0.8*Data!$G$17+Data!$G$18*(1-H271))*(1-H271),(Data!$G$16+6+Data!$G$17*(H271-0.6))*(H271-0.6))</f>
        <v>35.30656363699857</v>
      </c>
      <c r="J271" s="28">
        <f t="shared" si="63"/>
        <v>213.7667891476409</v>
      </c>
      <c r="K271" t="str">
        <f t="shared" si="66"/>
        <v>Cut</v>
      </c>
      <c r="L271" s="28">
        <f t="shared" si="67"/>
        <v>213.7667891476409</v>
      </c>
      <c r="M271" s="28">
        <f t="shared" si="68"/>
        <v>0</v>
      </c>
      <c r="N271" s="28">
        <f>SUM($L$3:L271)</f>
        <v>73958.91271707829</v>
      </c>
      <c r="O271" s="28">
        <f>SUM($M$3:M271)</f>
        <v>76203.21442350539</v>
      </c>
      <c r="Q271">
        <f>MATCH(C271,Ground!$A$3:$A$1999,1)</f>
        <v>91</v>
      </c>
      <c r="R271">
        <f ca="1">OFFSET(Ground!$A$2,Volume!Q271,0)</f>
        <v>6700</v>
      </c>
      <c r="S271">
        <f ca="1">OFFSET(Ground!$A$2,Volume!Q271,1)</f>
        <v>618.602482</v>
      </c>
      <c r="T271">
        <f ca="1">OFFSET(Ground!$A$2,Volume!Q271+1,0)</f>
        <v>6730</v>
      </c>
      <c r="U271">
        <f ca="1">OFFSET(Ground!$A$2,Volume!Q271+1,1)</f>
        <v>619.291053</v>
      </c>
      <c r="V271" s="26"/>
      <c r="W271">
        <f t="shared" si="72"/>
        <v>-30.30591706994211</v>
      </c>
      <c r="X271">
        <f>IF(Volume!W271&lt;'Temp Calcs'!$E$8,1,0)</f>
        <v>1</v>
      </c>
      <c r="Z271">
        <f t="shared" si="73"/>
        <v>29.671227101811247</v>
      </c>
      <c r="AA271">
        <f>IF(Volume!Z271&gt;'Temp Calcs'!$L$8,1,0)</f>
        <v>1</v>
      </c>
      <c r="AB271" s="8"/>
      <c r="AC271" s="7"/>
    </row>
    <row r="272" spans="1:29" ht="12.75">
      <c r="A272" s="1">
        <v>271</v>
      </c>
      <c r="C272" s="7">
        <f t="shared" si="71"/>
        <v>6712</v>
      </c>
      <c r="D272" s="8">
        <f t="shared" si="69"/>
        <v>618.7006846135889</v>
      </c>
      <c r="E272" s="7">
        <f aca="true" t="shared" si="74" ref="E272:E301">IF(C$302-C$252&gt;0,$E$252+($E$302-$E$252)*(C272-$C$252)/($C$302-$C$252),E$252)</f>
        <v>2.5305358905148</v>
      </c>
      <c r="F272" s="7"/>
      <c r="G272">
        <f aca="true" t="shared" si="75" ref="G272:G301">S272+(U272-S272)*(C272-R272)/(T272-R272)</f>
        <v>618.8779104</v>
      </c>
      <c r="H272" s="8">
        <f aca="true" t="shared" si="76" ref="H272:H301">D272-G272</f>
        <v>-0.17722578641109976</v>
      </c>
      <c r="I272" s="30">
        <f>IF(H272&lt;1,(Data!$G$16+14+0.8*Data!$G$17+Data!$G$18*(1-H272))*(1-H272),(Data!$G$16+6+Data!$G$17*(H272-0.6))*(H272-0.6))</f>
        <v>34.79226249476438</v>
      </c>
      <c r="J272" s="28">
        <f t="shared" si="63"/>
        <v>210.29647839528883</v>
      </c>
      <c r="K272" t="str">
        <f aca="true" t="shared" si="77" ref="K272:K301">IF(H272&lt;0.5,"Cut","Fill")</f>
        <v>Cut</v>
      </c>
      <c r="L272" s="28">
        <f aca="true" t="shared" si="78" ref="L272:L301">IF(K272="Cut",J272,0)</f>
        <v>210.29647839528883</v>
      </c>
      <c r="M272" s="28">
        <f aca="true" t="shared" si="79" ref="M272:M301">IF(K272="Fill",J272,0)</f>
        <v>0</v>
      </c>
      <c r="N272" s="28">
        <f>SUM($L$3:L272)</f>
        <v>74169.20919547358</v>
      </c>
      <c r="O272" s="28">
        <f>SUM($M$3:M272)</f>
        <v>76203.21442350539</v>
      </c>
      <c r="Q272">
        <f>MATCH(C272,Ground!$A$3:$A$1999,1)</f>
        <v>91</v>
      </c>
      <c r="R272">
        <f ca="1">OFFSET(Ground!$A$2,Volume!Q272,0)</f>
        <v>6700</v>
      </c>
      <c r="S272">
        <f ca="1">OFFSET(Ground!$A$2,Volume!Q272,1)</f>
        <v>618.602482</v>
      </c>
      <c r="T272">
        <f ca="1">OFFSET(Ground!$A$2,Volume!Q272+1,0)</f>
        <v>6730</v>
      </c>
      <c r="U272">
        <f ca="1">OFFSET(Ground!$A$2,Volume!Q272+1,1)</f>
        <v>619.291053</v>
      </c>
      <c r="V272" s="26"/>
      <c r="W272">
        <f t="shared" si="72"/>
        <v>-30.37613872416841</v>
      </c>
      <c r="X272">
        <f>IF(Volume!W272&lt;'Temp Calcs'!$E$8,1,0)</f>
        <v>1</v>
      </c>
      <c r="Z272">
        <f t="shared" si="73"/>
        <v>29.746570571540524</v>
      </c>
      <c r="AA272">
        <f>IF(Volume!Z272&gt;'Temp Calcs'!$L$8,1,0)</f>
        <v>1</v>
      </c>
      <c r="AB272" s="8"/>
      <c r="AC272" s="7"/>
    </row>
    <row r="273" spans="1:29" ht="12.75">
      <c r="A273" s="1">
        <v>272</v>
      </c>
      <c r="C273" s="7">
        <f t="shared" si="71"/>
        <v>6718</v>
      </c>
      <c r="D273" s="8">
        <f t="shared" si="69"/>
        <v>618.8505331759876</v>
      </c>
      <c r="E273" s="7">
        <f t="shared" si="74"/>
        <v>2.4644161894449828</v>
      </c>
      <c r="F273" s="7"/>
      <c r="G273">
        <f t="shared" si="75"/>
        <v>619.0156246</v>
      </c>
      <c r="H273" s="8">
        <f t="shared" si="76"/>
        <v>-0.1650914240124166</v>
      </c>
      <c r="I273" s="30">
        <f>IF(H273&lt;1,(Data!$G$16+14+0.8*Data!$G$17+Data!$G$18*(1-H273))*(1-H273),(Data!$G$16+6+Data!$G$17*(H273-0.6))*(H273-0.6))</f>
        <v>34.405362785752295</v>
      </c>
      <c r="J273" s="28">
        <f t="shared" si="63"/>
        <v>207.59287584155004</v>
      </c>
      <c r="K273" t="str">
        <f t="shared" si="77"/>
        <v>Cut</v>
      </c>
      <c r="L273" s="28">
        <f t="shared" si="78"/>
        <v>207.59287584155004</v>
      </c>
      <c r="M273" s="28">
        <f t="shared" si="79"/>
        <v>0</v>
      </c>
      <c r="N273" s="28">
        <f>SUM($L$3:L273)</f>
        <v>74376.80207131513</v>
      </c>
      <c r="O273" s="28">
        <f>SUM($M$3:M273)</f>
        <v>76203.21442350539</v>
      </c>
      <c r="Q273">
        <f>MATCH(C273,Ground!$A$3:$A$1999,1)</f>
        <v>91</v>
      </c>
      <c r="R273">
        <f ca="1">OFFSET(Ground!$A$2,Volume!Q273,0)</f>
        <v>6700</v>
      </c>
      <c r="S273">
        <f ca="1">OFFSET(Ground!$A$2,Volume!Q273,1)</f>
        <v>618.602482</v>
      </c>
      <c r="T273">
        <f ca="1">OFFSET(Ground!$A$2,Volume!Q273+1,0)</f>
        <v>6730</v>
      </c>
      <c r="U273">
        <f ca="1">OFFSET(Ground!$A$2,Volume!Q273+1,1)</f>
        <v>619.291053</v>
      </c>
      <c r="V273" s="26"/>
      <c r="W273">
        <f t="shared" si="72"/>
        <v>-30.451523372147385</v>
      </c>
      <c r="X273">
        <f>IF(Volume!W273&lt;'Temp Calcs'!$E$8,1,0)</f>
        <v>1</v>
      </c>
      <c r="Z273">
        <f t="shared" si="73"/>
        <v>29.826866060969813</v>
      </c>
      <c r="AA273">
        <f>IF(Volume!Z273&gt;'Temp Calcs'!$L$8,1,0)</f>
        <v>1</v>
      </c>
      <c r="AB273" s="8"/>
      <c r="AC273" s="7"/>
    </row>
    <row r="274" spans="1:29" ht="12.75">
      <c r="A274" s="1">
        <v>273</v>
      </c>
      <c r="C274" s="7">
        <f t="shared" si="71"/>
        <v>6724</v>
      </c>
      <c r="D274" s="8">
        <f t="shared" si="69"/>
        <v>618.9964145563223</v>
      </c>
      <c r="E274" s="7">
        <f t="shared" si="74"/>
        <v>2.3982964883751654</v>
      </c>
      <c r="F274" s="7"/>
      <c r="G274">
        <f t="shared" si="75"/>
        <v>619.1533388</v>
      </c>
      <c r="H274" s="8">
        <f t="shared" si="76"/>
        <v>-0.15692424367773583</v>
      </c>
      <c r="I274" s="30">
        <f>IF(H274&lt;1,(Data!$G$16+14+0.8*Data!$G$17+Data!$G$18*(1-H274))*(1-H274),(Data!$G$16+6+Data!$G$17*(H274-0.6))*(H274-0.6))</f>
        <v>34.14528683925302</v>
      </c>
      <c r="J274" s="28">
        <f t="shared" si="63"/>
        <v>205.65194887501596</v>
      </c>
      <c r="K274" t="str">
        <f t="shared" si="77"/>
        <v>Cut</v>
      </c>
      <c r="L274" s="28">
        <f t="shared" si="78"/>
        <v>205.65194887501596</v>
      </c>
      <c r="M274" s="28">
        <f t="shared" si="79"/>
        <v>0</v>
      </c>
      <c r="N274" s="28">
        <f>SUM($L$3:L274)</f>
        <v>74582.45402019015</v>
      </c>
      <c r="O274" s="28">
        <f>SUM($M$3:M274)</f>
        <v>76203.21442350539</v>
      </c>
      <c r="Q274">
        <f>MATCH(C274,Ground!$A$3:$A$1999,1)</f>
        <v>91</v>
      </c>
      <c r="R274">
        <f ca="1">OFFSET(Ground!$A$2,Volume!Q274,0)</f>
        <v>6700</v>
      </c>
      <c r="S274">
        <f ca="1">OFFSET(Ground!$A$2,Volume!Q274,1)</f>
        <v>618.602482</v>
      </c>
      <c r="T274">
        <f ca="1">OFFSET(Ground!$A$2,Volume!Q274+1,0)</f>
        <v>6730</v>
      </c>
      <c r="U274">
        <f ca="1">OFFSET(Ground!$A$2,Volume!Q274+1,1)</f>
        <v>619.291053</v>
      </c>
      <c r="V274" s="26"/>
      <c r="W274">
        <f t="shared" si="72"/>
        <v>-30.53199745646939</v>
      </c>
      <c r="X274">
        <f>IF(Volume!W274&lt;'Temp Calcs'!$E$8,1,0)</f>
        <v>1</v>
      </c>
      <c r="Z274">
        <f t="shared" si="73"/>
        <v>29.9120479319806</v>
      </c>
      <c r="AA274">
        <f>IF(Volume!Z274&gt;'Temp Calcs'!$L$8,1,0)</f>
        <v>1</v>
      </c>
      <c r="AB274" s="8"/>
      <c r="AC274" s="7"/>
    </row>
    <row r="275" spans="1:29" ht="12.75">
      <c r="A275" s="1">
        <v>274</v>
      </c>
      <c r="C275" s="7">
        <f t="shared" si="71"/>
        <v>6730</v>
      </c>
      <c r="D275" s="8">
        <f t="shared" si="69"/>
        <v>619.1383287545926</v>
      </c>
      <c r="E275" s="7">
        <f t="shared" si="74"/>
        <v>2.332176787305348</v>
      </c>
      <c r="F275" s="7"/>
      <c r="G275">
        <f t="shared" si="75"/>
        <v>619.291053</v>
      </c>
      <c r="H275" s="8">
        <f t="shared" si="76"/>
        <v>-0.15272424540739848</v>
      </c>
      <c r="I275" s="30">
        <f>IF(H275&lt;1,(Data!$G$16+14+0.8*Data!$G$17+Data!$G$18*(1-H275))*(1-H275),(Data!$G$16+6+Data!$G$17*(H275-0.6))*(H275-0.6))</f>
        <v>34.01164584698135</v>
      </c>
      <c r="J275" s="28">
        <f t="shared" si="63"/>
        <v>204.4707980587031</v>
      </c>
      <c r="K275" t="str">
        <f t="shared" si="77"/>
        <v>Cut</v>
      </c>
      <c r="L275" s="28">
        <f t="shared" si="78"/>
        <v>204.4707980587031</v>
      </c>
      <c r="M275" s="28">
        <f t="shared" si="79"/>
        <v>0</v>
      </c>
      <c r="N275" s="28">
        <f>SUM($L$3:L275)</f>
        <v>74786.92481824885</v>
      </c>
      <c r="O275" s="28">
        <f>SUM($M$3:M275)</f>
        <v>76203.21442350539</v>
      </c>
      <c r="Q275">
        <f>MATCH(C275,Ground!$A$3:$A$1999,1)</f>
        <v>92</v>
      </c>
      <c r="R275">
        <f ca="1">OFFSET(Ground!$A$2,Volume!Q275,0)</f>
        <v>6730</v>
      </c>
      <c r="S275">
        <f ca="1">OFFSET(Ground!$A$2,Volume!Q275,1)</f>
        <v>619.291053</v>
      </c>
      <c r="T275">
        <f ca="1">OFFSET(Ground!$A$2,Volume!Q275+1,0)</f>
        <v>6760</v>
      </c>
      <c r="U275">
        <f ca="1">OFFSET(Ground!$A$2,Volume!Q275+1,1)</f>
        <v>619.746484</v>
      </c>
      <c r="V275" s="26"/>
      <c r="W275">
        <f t="shared" si="72"/>
        <v>-30.617495864069088</v>
      </c>
      <c r="X275">
        <f>IF(Volume!W275&lt;'Temp Calcs'!$E$8,1,0)</f>
        <v>1</v>
      </c>
      <c r="Z275">
        <f t="shared" si="73"/>
        <v>30.00205850269146</v>
      </c>
      <c r="AA275">
        <f>IF(Volume!Z275&gt;'Temp Calcs'!$L$8,1,0)</f>
        <v>1</v>
      </c>
      <c r="AB275" s="8"/>
      <c r="AC275" s="7"/>
    </row>
    <row r="276" spans="1:29" ht="12.75">
      <c r="A276" s="1">
        <v>275</v>
      </c>
      <c r="C276" s="7">
        <f t="shared" si="71"/>
        <v>6736</v>
      </c>
      <c r="D276" s="8">
        <f t="shared" si="69"/>
        <v>619.2762757707989</v>
      </c>
      <c r="E276" s="7">
        <f t="shared" si="74"/>
        <v>2.2660570862355307</v>
      </c>
      <c r="F276" s="7"/>
      <c r="G276">
        <f t="shared" si="75"/>
        <v>619.3821392</v>
      </c>
      <c r="H276" s="8">
        <f t="shared" si="76"/>
        <v>-0.10586342920112202</v>
      </c>
      <c r="I276" s="30">
        <f>IF(H276&lt;1,(Data!$G$16+14+0.8*Data!$G$17+Data!$G$18*(1-H276))*(1-H276),(Data!$G$16+6+Data!$G$17*(H276-0.6))*(H276-0.6))</f>
        <v>32.52535312235945</v>
      </c>
      <c r="J276" s="28">
        <f t="shared" si="63"/>
        <v>199.6109969080224</v>
      </c>
      <c r="K276" t="str">
        <f t="shared" si="77"/>
        <v>Cut</v>
      </c>
      <c r="L276" s="28">
        <f t="shared" si="78"/>
        <v>199.6109969080224</v>
      </c>
      <c r="M276" s="28">
        <f t="shared" si="79"/>
        <v>0</v>
      </c>
      <c r="N276" s="28">
        <f>SUM($L$3:L276)</f>
        <v>74986.53581515688</v>
      </c>
      <c r="O276" s="28">
        <f>SUM($M$3:M276)</f>
        <v>76203.21442350539</v>
      </c>
      <c r="Q276">
        <f>MATCH(C276,Ground!$A$3:$A$1999,1)</f>
        <v>92</v>
      </c>
      <c r="R276">
        <f ca="1">OFFSET(Ground!$A$2,Volume!Q276,0)</f>
        <v>6730</v>
      </c>
      <c r="S276">
        <f ca="1">OFFSET(Ground!$A$2,Volume!Q276,1)</f>
        <v>619.291053</v>
      </c>
      <c r="T276">
        <f ca="1">OFFSET(Ground!$A$2,Volume!Q276+1,0)</f>
        <v>6760</v>
      </c>
      <c r="U276">
        <f ca="1">OFFSET(Ground!$A$2,Volume!Q276+1,1)</f>
        <v>619.746484</v>
      </c>
      <c r="V276" s="26"/>
      <c r="W276">
        <f t="shared" si="72"/>
        <v>-30.70796148100073</v>
      </c>
      <c r="X276">
        <f>IF(Volume!W276&lt;'Temp Calcs'!$E$8,1,0)</f>
        <v>1</v>
      </c>
      <c r="Z276">
        <f t="shared" si="73"/>
        <v>30.09684763537807</v>
      </c>
      <c r="AA276">
        <f>IF(Volume!Z276&gt;'Temp Calcs'!$L$8,1,0)</f>
        <v>1</v>
      </c>
      <c r="AB276" s="8"/>
      <c r="AC276" s="7"/>
    </row>
    <row r="277" spans="1:29" ht="12.75">
      <c r="A277" s="1">
        <v>276</v>
      </c>
      <c r="C277" s="7">
        <f t="shared" si="71"/>
        <v>6742</v>
      </c>
      <c r="D277" s="8">
        <f t="shared" si="69"/>
        <v>619.4102556049409</v>
      </c>
      <c r="E277" s="7">
        <f t="shared" si="74"/>
        <v>2.1999373851657134</v>
      </c>
      <c r="F277" s="7"/>
      <c r="G277">
        <f t="shared" si="75"/>
        <v>619.4732254</v>
      </c>
      <c r="H277" s="8">
        <f t="shared" si="76"/>
        <v>-0.06296979505918898</v>
      </c>
      <c r="I277" s="30">
        <f>IF(H277&lt;1,(Data!$G$16+14+0.8*Data!$G$17+Data!$G$18*(1-H277))*(1-H277),(Data!$G$16+6+Data!$G$17*(H277-0.6))*(H277-0.6))</f>
        <v>31.172587996026287</v>
      </c>
      <c r="J277" s="28">
        <f t="shared" si="63"/>
        <v>191.0938233551572</v>
      </c>
      <c r="K277" t="str">
        <f t="shared" si="77"/>
        <v>Cut</v>
      </c>
      <c r="L277" s="28">
        <f t="shared" si="78"/>
        <v>191.0938233551572</v>
      </c>
      <c r="M277" s="28">
        <f t="shared" si="79"/>
        <v>0</v>
      </c>
      <c r="N277" s="28">
        <f>SUM($L$3:L277)</f>
        <v>75177.62963851204</v>
      </c>
      <c r="O277" s="28">
        <f>SUM($M$3:M277)</f>
        <v>76203.21442350539</v>
      </c>
      <c r="Q277">
        <f>MATCH(C277,Ground!$A$3:$A$1999,1)</f>
        <v>92</v>
      </c>
      <c r="R277">
        <f ca="1">OFFSET(Ground!$A$2,Volume!Q277,0)</f>
        <v>6730</v>
      </c>
      <c r="S277">
        <f ca="1">OFFSET(Ground!$A$2,Volume!Q277,1)</f>
        <v>619.291053</v>
      </c>
      <c r="T277">
        <f ca="1">OFFSET(Ground!$A$2,Volume!Q277+1,0)</f>
        <v>6760</v>
      </c>
      <c r="U277">
        <f ca="1">OFFSET(Ground!$A$2,Volume!Q277+1,1)</f>
        <v>619.746484</v>
      </c>
      <c r="V277" s="26"/>
      <c r="W277">
        <f t="shared" si="72"/>
        <v>-30.803344790737274</v>
      </c>
      <c r="X277">
        <f>IF(Volume!W277&lt;'Temp Calcs'!$E$8,1,0)</f>
        <v>1</v>
      </c>
      <c r="Z277">
        <f t="shared" si="73"/>
        <v>30.196372365099993</v>
      </c>
      <c r="AA277">
        <f>IF(Volume!Z277&gt;'Temp Calcs'!$L$8,1,0)</f>
        <v>1</v>
      </c>
      <c r="AB277" s="8"/>
      <c r="AC277" s="7"/>
    </row>
    <row r="278" spans="1:29" ht="12.75">
      <c r="A278" s="1">
        <v>277</v>
      </c>
      <c r="C278" s="7">
        <f t="shared" si="71"/>
        <v>6748</v>
      </c>
      <c r="D278" s="8">
        <f t="shared" si="69"/>
        <v>619.5402682570187</v>
      </c>
      <c r="E278" s="7">
        <f t="shared" si="74"/>
        <v>2.133817684095896</v>
      </c>
      <c r="F278" s="7"/>
      <c r="G278">
        <f t="shared" si="75"/>
        <v>619.5643116</v>
      </c>
      <c r="H278" s="8">
        <f t="shared" si="76"/>
        <v>-0.02404334298125832</v>
      </c>
      <c r="I278" s="30">
        <f>IF(H278&lt;1,(Data!$G$16+14+0.8*Data!$G$17+Data!$G$18*(1-H278))*(1-H278),(Data!$G$16+6+Data!$G$17*(H278-0.6))*(H278-0.6))</f>
        <v>29.951308465698688</v>
      </c>
      <c r="J278" s="28">
        <f t="shared" si="63"/>
        <v>183.37168938517493</v>
      </c>
      <c r="K278" t="str">
        <f t="shared" si="77"/>
        <v>Cut</v>
      </c>
      <c r="L278" s="28">
        <f t="shared" si="78"/>
        <v>183.37168938517493</v>
      </c>
      <c r="M278" s="28">
        <f t="shared" si="79"/>
        <v>0</v>
      </c>
      <c r="N278" s="28">
        <f>SUM($L$3:L278)</f>
        <v>75361.00132789722</v>
      </c>
      <c r="O278" s="28">
        <f>SUM($M$3:M278)</f>
        <v>76203.21442350539</v>
      </c>
      <c r="Q278">
        <f>MATCH(C278,Ground!$A$3:$A$1999,1)</f>
        <v>92</v>
      </c>
      <c r="R278">
        <f ca="1">OFFSET(Ground!$A$2,Volume!Q278,0)</f>
        <v>6730</v>
      </c>
      <c r="S278">
        <f ca="1">OFFSET(Ground!$A$2,Volume!Q278,1)</f>
        <v>619.291053</v>
      </c>
      <c r="T278">
        <f ca="1">OFFSET(Ground!$A$2,Volume!Q278+1,0)</f>
        <v>6760</v>
      </c>
      <c r="U278">
        <f ca="1">OFFSET(Ground!$A$2,Volume!Q278+1,1)</f>
        <v>619.746484</v>
      </c>
      <c r="V278" s="26"/>
      <c r="W278">
        <f t="shared" si="72"/>
        <v>-30.903603512133312</v>
      </c>
      <c r="X278">
        <f>IF(Volume!W278&lt;'Temp Calcs'!$E$8,1,0)</f>
        <v>1</v>
      </c>
      <c r="Z278">
        <f t="shared" si="73"/>
        <v>30.30059656544215</v>
      </c>
      <c r="AA278">
        <f>IF(Volume!Z278&gt;'Temp Calcs'!$L$8,1,0)</f>
        <v>1</v>
      </c>
      <c r="AB278" s="8"/>
      <c r="AC278" s="7"/>
    </row>
    <row r="279" spans="1:29" ht="12.75">
      <c r="A279" s="1">
        <v>278</v>
      </c>
      <c r="C279" s="7">
        <f t="shared" si="71"/>
        <v>6754</v>
      </c>
      <c r="D279" s="8">
        <f t="shared" si="69"/>
        <v>619.6663137270324</v>
      </c>
      <c r="E279" s="7">
        <f t="shared" si="74"/>
        <v>2.0676979830260787</v>
      </c>
      <c r="F279" s="7"/>
      <c r="G279">
        <f t="shared" si="75"/>
        <v>619.6553978000001</v>
      </c>
      <c r="H279" s="8">
        <f t="shared" si="76"/>
        <v>0.01091592703232891</v>
      </c>
      <c r="I279" s="30">
        <f>IF(H279&lt;1,(Data!$G$16+14+0.8*Data!$G$17+Data!$G$18*(1-H279))*(1-H279),(Data!$G$16+6+Data!$G$17*(H279-0.6))*(H279-0.6))</f>
        <v>28.85966139151729</v>
      </c>
      <c r="J279" s="28">
        <f t="shared" si="63"/>
        <v>176.43290957164794</v>
      </c>
      <c r="K279" t="str">
        <f t="shared" si="77"/>
        <v>Cut</v>
      </c>
      <c r="L279" s="28">
        <f t="shared" si="78"/>
        <v>176.43290957164794</v>
      </c>
      <c r="M279" s="28">
        <f t="shared" si="79"/>
        <v>0</v>
      </c>
      <c r="N279" s="28">
        <f>SUM($L$3:L279)</f>
        <v>75537.43423746887</v>
      </c>
      <c r="O279" s="28">
        <f>SUM($M$3:M279)</f>
        <v>76203.21442350539</v>
      </c>
      <c r="Q279">
        <f>MATCH(C279,Ground!$A$3:$A$1999,1)</f>
        <v>92</v>
      </c>
      <c r="R279">
        <f ca="1">OFFSET(Ground!$A$2,Volume!Q279,0)</f>
        <v>6730</v>
      </c>
      <c r="S279">
        <f ca="1">OFFSET(Ground!$A$2,Volume!Q279,1)</f>
        <v>619.291053</v>
      </c>
      <c r="T279">
        <f ca="1">OFFSET(Ground!$A$2,Volume!Q279+1,0)</f>
        <v>6760</v>
      </c>
      <c r="U279">
        <f ca="1">OFFSET(Ground!$A$2,Volume!Q279+1,1)</f>
        <v>619.746484</v>
      </c>
      <c r="V279" s="26"/>
      <c r="W279">
        <f t="shared" si="72"/>
        <v>-31.008702273637113</v>
      </c>
      <c r="X279">
        <f>IF(Volume!W279&lt;'Temp Calcs'!$E$8,1,0)</f>
        <v>1</v>
      </c>
      <c r="Z279">
        <f t="shared" si="73"/>
        <v>30.40949064819444</v>
      </c>
      <c r="AA279">
        <f>IF(Volume!Z279&gt;'Temp Calcs'!$L$8,1,0)</f>
        <v>1</v>
      </c>
      <c r="AB279" s="8"/>
      <c r="AC279" s="7"/>
    </row>
    <row r="280" spans="1:29" ht="12.75">
      <c r="A280" s="1">
        <v>279</v>
      </c>
      <c r="C280" s="7">
        <f t="shared" si="71"/>
        <v>6760</v>
      </c>
      <c r="D280" s="8">
        <f t="shared" si="69"/>
        <v>619.7883920149818</v>
      </c>
      <c r="E280" s="7">
        <f t="shared" si="74"/>
        <v>2.0015782819562613</v>
      </c>
      <c r="F280" s="7"/>
      <c r="G280">
        <f t="shared" si="75"/>
        <v>619.746484</v>
      </c>
      <c r="H280" s="8">
        <f t="shared" si="76"/>
        <v>0.04190801498180008</v>
      </c>
      <c r="I280" s="30">
        <f>IF(H280&lt;1,(Data!$G$16+14+0.8*Data!$G$17+Data!$G$18*(1-H280))*(1-H280),(Data!$G$16+6+Data!$G$17*(H280-0.6))*(H280-0.6))</f>
        <v>27.895982496007267</v>
      </c>
      <c r="J280" s="28">
        <f t="shared" si="63"/>
        <v>170.26693166257365</v>
      </c>
      <c r="K280" t="str">
        <f t="shared" si="77"/>
        <v>Cut</v>
      </c>
      <c r="L280" s="28">
        <f t="shared" si="78"/>
        <v>170.26693166257365</v>
      </c>
      <c r="M280" s="28">
        <f t="shared" si="79"/>
        <v>0</v>
      </c>
      <c r="N280" s="28">
        <f>SUM($L$3:L280)</f>
        <v>75707.70116913144</v>
      </c>
      <c r="O280" s="28">
        <f>SUM($M$3:M280)</f>
        <v>76203.21442350539</v>
      </c>
      <c r="Q280">
        <f>MATCH(C280,Ground!$A$3:$A$1999,1)</f>
        <v>93</v>
      </c>
      <c r="R280">
        <f ca="1">OFFSET(Ground!$A$2,Volume!Q280,0)</f>
        <v>6760</v>
      </c>
      <c r="S280">
        <f ca="1">OFFSET(Ground!$A$2,Volume!Q280,1)</f>
        <v>619.746484</v>
      </c>
      <c r="T280">
        <f ca="1">OFFSET(Ground!$A$2,Volume!Q280+1,0)</f>
        <v>6790</v>
      </c>
      <c r="U280">
        <f ca="1">OFFSET(Ground!$A$2,Volume!Q280+1,1)</f>
        <v>620.078376</v>
      </c>
      <c r="V280" s="26"/>
      <c r="W280">
        <f t="shared" si="72"/>
        <v>-31.118612320714536</v>
      </c>
      <c r="X280">
        <f>IF(Volume!W280&lt;'Temp Calcs'!$E$8,1,0)</f>
        <v>1</v>
      </c>
      <c r="Z280">
        <f t="shared" si="73"/>
        <v>30.523031294145415</v>
      </c>
      <c r="AA280">
        <f>IF(Volume!Z280&gt;'Temp Calcs'!$L$8,1,0)</f>
        <v>1</v>
      </c>
      <c r="AB280" s="8"/>
      <c r="AC280" s="7"/>
    </row>
    <row r="281" spans="1:29" ht="12.75">
      <c r="A281" s="1">
        <v>280</v>
      </c>
      <c r="C281" s="7">
        <f t="shared" si="71"/>
        <v>6766</v>
      </c>
      <c r="D281" s="8">
        <f t="shared" si="69"/>
        <v>619.9065031208672</v>
      </c>
      <c r="E281" s="7">
        <f t="shared" si="74"/>
        <v>1.9354585808864437</v>
      </c>
      <c r="F281" s="7"/>
      <c r="G281">
        <f t="shared" si="75"/>
        <v>619.8128624</v>
      </c>
      <c r="H281" s="8">
        <f t="shared" si="76"/>
        <v>0.09364072086725628</v>
      </c>
      <c r="I281" s="30">
        <f>IF(H281&lt;1,(Data!$G$16+14+0.8*Data!$G$17+Data!$G$18*(1-H281))*(1-H281),(Data!$G$16+6+Data!$G$17*(H281-0.6))*(H281-0.6))</f>
        <v>26.29594667815068</v>
      </c>
      <c r="J281" s="28">
        <f t="shared" si="63"/>
        <v>162.57578752247383</v>
      </c>
      <c r="K281" t="str">
        <f t="shared" si="77"/>
        <v>Cut</v>
      </c>
      <c r="L281" s="28">
        <f t="shared" si="78"/>
        <v>162.57578752247383</v>
      </c>
      <c r="M281" s="28">
        <f t="shared" si="79"/>
        <v>0</v>
      </c>
      <c r="N281" s="28">
        <f>SUM($L$3:L281)</f>
        <v>75870.27695665392</v>
      </c>
      <c r="O281" s="28">
        <f>SUM($M$3:M281)</f>
        <v>76203.21442350539</v>
      </c>
      <c r="Q281">
        <f>MATCH(C281,Ground!$A$3:$A$1999,1)</f>
        <v>93</v>
      </c>
      <c r="R281">
        <f ca="1">OFFSET(Ground!$A$2,Volume!Q281,0)</f>
        <v>6760</v>
      </c>
      <c r="S281">
        <f ca="1">OFFSET(Ground!$A$2,Volume!Q281,1)</f>
        <v>619.746484</v>
      </c>
      <c r="T281">
        <f ca="1">OFFSET(Ground!$A$2,Volume!Q281+1,0)</f>
        <v>6790</v>
      </c>
      <c r="U281">
        <f ca="1">OFFSET(Ground!$A$2,Volume!Q281+1,1)</f>
        <v>620.078376</v>
      </c>
      <c r="V281" s="26"/>
      <c r="W281">
        <f t="shared" si="72"/>
        <v>-31.23331125379231</v>
      </c>
      <c r="X281">
        <f>IF(Volume!W281&lt;'Temp Calcs'!$E$8,1,0)</f>
        <v>1</v>
      </c>
      <c r="Z281">
        <f t="shared" si="73"/>
        <v>30.641201212487537</v>
      </c>
      <c r="AA281">
        <f>IF(Volume!Z281&gt;'Temp Calcs'!$L$8,1,0)</f>
        <v>1</v>
      </c>
      <c r="AB281" s="8"/>
      <c r="AC281" s="7"/>
    </row>
    <row r="282" spans="1:29" ht="12.75">
      <c r="A282" s="1">
        <v>281</v>
      </c>
      <c r="C282" s="7">
        <f t="shared" si="71"/>
        <v>6772</v>
      </c>
      <c r="D282" s="8">
        <f t="shared" si="69"/>
        <v>620.0206470446883</v>
      </c>
      <c r="E282" s="7">
        <f t="shared" si="74"/>
        <v>1.8693388798166266</v>
      </c>
      <c r="F282" s="7"/>
      <c r="G282">
        <f t="shared" si="75"/>
        <v>619.8792408</v>
      </c>
      <c r="H282" s="8">
        <f t="shared" si="76"/>
        <v>0.14140624468825536</v>
      </c>
      <c r="I282" s="30">
        <f>IF(H282&lt;1,(Data!$G$16+14+0.8*Data!$G$17+Data!$G$18*(1-H282))*(1-H282),(Data!$G$16+6+Data!$G$17*(H282-0.6))*(H282-0.6))</f>
        <v>24.828116617800102</v>
      </c>
      <c r="J282" s="28">
        <f t="shared" si="63"/>
        <v>153.37218988785236</v>
      </c>
      <c r="K282" t="str">
        <f t="shared" si="77"/>
        <v>Cut</v>
      </c>
      <c r="L282" s="28">
        <f t="shared" si="78"/>
        <v>153.37218988785236</v>
      </c>
      <c r="M282" s="28">
        <f t="shared" si="79"/>
        <v>0</v>
      </c>
      <c r="N282" s="28">
        <f>SUM($L$3:L282)</f>
        <v>76023.64914654178</v>
      </c>
      <c r="O282" s="28">
        <f>SUM($M$3:M282)</f>
        <v>76203.21442350539</v>
      </c>
      <c r="Q282">
        <f>MATCH(C282,Ground!$A$3:$A$1999,1)</f>
        <v>93</v>
      </c>
      <c r="R282">
        <f ca="1">OFFSET(Ground!$A$2,Volume!Q282,0)</f>
        <v>6760</v>
      </c>
      <c r="S282">
        <f ca="1">OFFSET(Ground!$A$2,Volume!Q282,1)</f>
        <v>619.746484</v>
      </c>
      <c r="T282">
        <f ca="1">OFFSET(Ground!$A$2,Volume!Q282+1,0)</f>
        <v>6790</v>
      </c>
      <c r="U282">
        <f ca="1">OFFSET(Ground!$A$2,Volume!Q282+1,1)</f>
        <v>620.078376</v>
      </c>
      <c r="V282" s="26"/>
      <c r="W282">
        <f t="shared" si="72"/>
        <v>-31.352782794329183</v>
      </c>
      <c r="X282">
        <f>IF(Volume!W282&lt;'Temp Calcs'!$E$8,1,0)</f>
        <v>1</v>
      </c>
      <c r="Z282">
        <f t="shared" si="73"/>
        <v>30.76398892661302</v>
      </c>
      <c r="AA282">
        <f>IF(Volume!Z282&gt;'Temp Calcs'!$L$8,1,0)</f>
        <v>1</v>
      </c>
      <c r="AB282" s="8"/>
      <c r="AC282" s="7"/>
    </row>
    <row r="283" spans="1:29" ht="12.75">
      <c r="A283" s="1">
        <v>282</v>
      </c>
      <c r="C283" s="7">
        <f t="shared" si="71"/>
        <v>6778</v>
      </c>
      <c r="D283" s="8">
        <f t="shared" si="69"/>
        <v>620.1308237864453</v>
      </c>
      <c r="E283" s="7">
        <f t="shared" si="74"/>
        <v>1.8032191787468093</v>
      </c>
      <c r="F283" s="7"/>
      <c r="G283">
        <f t="shared" si="75"/>
        <v>619.9456192</v>
      </c>
      <c r="H283" s="8">
        <f t="shared" si="76"/>
        <v>0.18520458644525206</v>
      </c>
      <c r="I283" s="30">
        <f>IF(H283&lt;1,(Data!$G$16+14+0.8*Data!$G$17+Data!$G$18*(1-H283))*(1-H283),(Data!$G$16+6+Data!$G$17*(H283-0.6))*(H283-0.6))</f>
        <v>23.49021838058885</v>
      </c>
      <c r="J283" s="28">
        <f t="shared" si="63"/>
        <v>144.95500499516686</v>
      </c>
      <c r="K283" t="str">
        <f t="shared" si="77"/>
        <v>Cut</v>
      </c>
      <c r="L283" s="28">
        <f t="shared" si="78"/>
        <v>144.95500499516686</v>
      </c>
      <c r="M283" s="28">
        <f t="shared" si="79"/>
        <v>0</v>
      </c>
      <c r="N283" s="28">
        <f>SUM($L$3:L283)</f>
        <v>76168.60415153694</v>
      </c>
      <c r="O283" s="28">
        <f>SUM($M$3:M283)</f>
        <v>76203.21442350539</v>
      </c>
      <c r="Q283">
        <f>MATCH(C283,Ground!$A$3:$A$1999,1)</f>
        <v>93</v>
      </c>
      <c r="R283">
        <f ca="1">OFFSET(Ground!$A$2,Volume!Q283,0)</f>
        <v>6760</v>
      </c>
      <c r="S283">
        <f ca="1">OFFSET(Ground!$A$2,Volume!Q283,1)</f>
        <v>619.746484</v>
      </c>
      <c r="T283">
        <f ca="1">OFFSET(Ground!$A$2,Volume!Q283+1,0)</f>
        <v>6790</v>
      </c>
      <c r="U283">
        <f ca="1">OFFSET(Ground!$A$2,Volume!Q283+1,1)</f>
        <v>620.078376</v>
      </c>
      <c r="V283" s="26"/>
      <c r="W283">
        <f t="shared" si="72"/>
        <v>-31.47701657688658</v>
      </c>
      <c r="X283">
        <f>IF(Volume!W283&lt;'Temp Calcs'!$E$8,1,0)</f>
        <v>1</v>
      </c>
      <c r="Z283">
        <f t="shared" si="73"/>
        <v>30.891388584324464</v>
      </c>
      <c r="AA283">
        <f>IF(Volume!Z283&gt;'Temp Calcs'!$L$8,1,0)</f>
        <v>1</v>
      </c>
      <c r="AB283" s="8"/>
      <c r="AC283" s="7"/>
    </row>
    <row r="284" spans="1:29" ht="12.75">
      <c r="A284" s="1">
        <v>283</v>
      </c>
      <c r="C284" s="7">
        <f t="shared" si="71"/>
        <v>6784</v>
      </c>
      <c r="D284" s="8">
        <f t="shared" si="69"/>
        <v>620.2370333461379</v>
      </c>
      <c r="E284" s="7">
        <f t="shared" si="74"/>
        <v>1.737099477676992</v>
      </c>
      <c r="F284" s="7"/>
      <c r="G284">
        <f t="shared" si="75"/>
        <v>620.0119976000001</v>
      </c>
      <c r="H284" s="8">
        <f t="shared" si="76"/>
        <v>0.22503574613779165</v>
      </c>
      <c r="I284" s="30">
        <f>IF(H284&lt;1,(Data!$G$16+14+0.8*Data!$G$17+Data!$G$18*(1-H284))*(1-H284),(Data!$G$16+6+Data!$G$17*(H284-0.6))*(H284-0.6))</f>
        <v>22.280166894580486</v>
      </c>
      <c r="J284" s="28">
        <f t="shared" si="63"/>
        <v>137.311155825508</v>
      </c>
      <c r="K284" t="str">
        <f t="shared" si="77"/>
        <v>Cut</v>
      </c>
      <c r="L284" s="28">
        <f t="shared" si="78"/>
        <v>137.311155825508</v>
      </c>
      <c r="M284" s="28">
        <f t="shared" si="79"/>
        <v>0</v>
      </c>
      <c r="N284" s="28">
        <f>SUM($L$3:L284)</f>
        <v>76305.91530736245</v>
      </c>
      <c r="O284" s="28">
        <f>SUM($M$3:M284)</f>
        <v>76203.21442350539</v>
      </c>
      <c r="Q284">
        <f>MATCH(C284,Ground!$A$3:$A$1999,1)</f>
        <v>93</v>
      </c>
      <c r="R284">
        <f ca="1">OFFSET(Ground!$A$2,Volume!Q284,0)</f>
        <v>6760</v>
      </c>
      <c r="S284">
        <f ca="1">OFFSET(Ground!$A$2,Volume!Q284,1)</f>
        <v>619.746484</v>
      </c>
      <c r="T284">
        <f ca="1">OFFSET(Ground!$A$2,Volume!Q284+1,0)</f>
        <v>6790</v>
      </c>
      <c r="U284">
        <f ca="1">OFFSET(Ground!$A$2,Volume!Q284+1,1)</f>
        <v>620.078376</v>
      </c>
      <c r="V284" s="26"/>
      <c r="W284">
        <f t="shared" si="72"/>
        <v>-31.60600796532019</v>
      </c>
      <c r="X284">
        <f>IF(Volume!W284&lt;'Temp Calcs'!$E$8,1,0)</f>
        <v>1</v>
      </c>
      <c r="Z284">
        <f t="shared" si="73"/>
        <v>31.023399790718674</v>
      </c>
      <c r="AA284">
        <f>IF(Volume!Z284&gt;'Temp Calcs'!$L$8,1,0)</f>
        <v>1</v>
      </c>
      <c r="AB284" s="8"/>
      <c r="AC284" s="7"/>
    </row>
    <row r="285" spans="1:29" ht="12.75">
      <c r="A285" s="1">
        <v>284</v>
      </c>
      <c r="C285" s="7">
        <f t="shared" si="71"/>
        <v>6790</v>
      </c>
      <c r="D285" s="8">
        <f t="shared" si="69"/>
        <v>620.3392757237664</v>
      </c>
      <c r="E285" s="7">
        <f t="shared" si="74"/>
        <v>1.6709797766071746</v>
      </c>
      <c r="F285" s="7"/>
      <c r="G285">
        <f t="shared" si="75"/>
        <v>620.078376</v>
      </c>
      <c r="H285" s="8">
        <f t="shared" si="76"/>
        <v>0.26089972376632886</v>
      </c>
      <c r="I285" s="30">
        <f>IF(H285&lt;1,(Data!$G$16+14+0.8*Data!$G$17+Data!$G$18*(1-H285))*(1-H285),(Data!$G$16+6+Data!$G$17*(H285-0.6))*(H285-0.6))</f>
        <v>21.19606595021323</v>
      </c>
      <c r="J285" s="28">
        <f t="shared" si="63"/>
        <v>130.42869853438114</v>
      </c>
      <c r="K285" t="str">
        <f t="shared" si="77"/>
        <v>Cut</v>
      </c>
      <c r="L285" s="28">
        <f t="shared" si="78"/>
        <v>130.42869853438114</v>
      </c>
      <c r="M285" s="28">
        <f t="shared" si="79"/>
        <v>0</v>
      </c>
      <c r="N285" s="28">
        <f>SUM($L$3:L285)</f>
        <v>76436.34400589683</v>
      </c>
      <c r="O285" s="28">
        <f>SUM($M$3:M285)</f>
        <v>76203.21442350539</v>
      </c>
      <c r="Q285">
        <f>MATCH(C285,Ground!$A$3:$A$1999,1)</f>
        <v>94</v>
      </c>
      <c r="R285">
        <f ca="1">OFFSET(Ground!$A$2,Volume!Q285,0)</f>
        <v>6790</v>
      </c>
      <c r="S285">
        <f ca="1">OFFSET(Ground!$A$2,Volume!Q285,1)</f>
        <v>620.078376</v>
      </c>
      <c r="T285">
        <f ca="1">OFFSET(Ground!$A$2,Volume!Q285+1,0)</f>
        <v>6820</v>
      </c>
      <c r="U285">
        <f ca="1">OFFSET(Ground!$A$2,Volume!Q285+1,1)</f>
        <v>620.248817</v>
      </c>
      <c r="V285" s="26"/>
      <c r="W285">
        <f t="shared" si="72"/>
        <v>-31.739757891415508</v>
      </c>
      <c r="X285">
        <f>IF(Volume!W285&lt;'Temp Calcs'!$E$8,1,0)</f>
        <v>1</v>
      </c>
      <c r="Z285">
        <f t="shared" si="73"/>
        <v>31.16002746218982</v>
      </c>
      <c r="AA285">
        <f>IF(Volume!Z285&gt;'Temp Calcs'!$L$8,1,0)</f>
        <v>1</v>
      </c>
      <c r="AB285" s="8"/>
      <c r="AC285" s="7"/>
    </row>
    <row r="286" spans="1:29" ht="12.75">
      <c r="A286" s="1">
        <v>285</v>
      </c>
      <c r="C286" s="7">
        <f t="shared" si="71"/>
        <v>6796</v>
      </c>
      <c r="D286" s="8">
        <f t="shared" si="69"/>
        <v>620.4375509193308</v>
      </c>
      <c r="E286" s="7">
        <f t="shared" si="74"/>
        <v>1.6048600755373568</v>
      </c>
      <c r="F286" s="7"/>
      <c r="G286">
        <f t="shared" si="75"/>
        <v>620.1124642000001</v>
      </c>
      <c r="H286" s="8">
        <f t="shared" si="76"/>
        <v>0.32508671933067035</v>
      </c>
      <c r="I286" s="30">
        <f>IF(H286&lt;1,(Data!$G$16+14+0.8*Data!$G$17+Data!$G$18*(1-H286))*(1-H286),(Data!$G$16+6+Data!$G$17*(H286-0.6))*(H286-0.6))</f>
        <v>19.26865710705344</v>
      </c>
      <c r="J286" s="28">
        <f t="shared" si="63"/>
        <v>121.3941691718</v>
      </c>
      <c r="K286" t="str">
        <f t="shared" si="77"/>
        <v>Cut</v>
      </c>
      <c r="L286" s="28">
        <f t="shared" si="78"/>
        <v>121.3941691718</v>
      </c>
      <c r="M286" s="28">
        <f t="shared" si="79"/>
        <v>0</v>
      </c>
      <c r="N286" s="28">
        <f>SUM($L$3:L286)</f>
        <v>76557.73817506863</v>
      </c>
      <c r="O286" s="28">
        <f>SUM($M$3:M286)</f>
        <v>76203.21442350539</v>
      </c>
      <c r="Q286">
        <f>MATCH(C286,Ground!$A$3:$A$1999,1)</f>
        <v>94</v>
      </c>
      <c r="R286">
        <f ca="1">OFFSET(Ground!$A$2,Volume!Q286,0)</f>
        <v>6790</v>
      </c>
      <c r="S286">
        <f ca="1">OFFSET(Ground!$A$2,Volume!Q286,1)</f>
        <v>620.078376</v>
      </c>
      <c r="T286">
        <f ca="1">OFFSET(Ground!$A$2,Volume!Q286+1,0)</f>
        <v>6820</v>
      </c>
      <c r="U286">
        <f ca="1">OFFSET(Ground!$A$2,Volume!Q286+1,1)</f>
        <v>620.248817</v>
      </c>
      <c r="V286" s="26"/>
      <c r="W286">
        <f t="shared" si="72"/>
        <v>-31.878272714493903</v>
      </c>
      <c r="X286">
        <f>IF(Volume!W286&lt;'Temp Calcs'!$E$8,1,0)</f>
        <v>1</v>
      </c>
      <c r="Z286">
        <f t="shared" si="73"/>
        <v>31.30128170018912</v>
      </c>
      <c r="AA286">
        <f>IF(Volume!Z286&gt;'Temp Calcs'!$L$8,1,0)</f>
        <v>1</v>
      </c>
      <c r="AB286" s="8"/>
      <c r="AC286" s="7"/>
    </row>
    <row r="287" spans="1:29" ht="12.75">
      <c r="A287" s="1">
        <v>286</v>
      </c>
      <c r="C287" s="7">
        <f t="shared" si="71"/>
        <v>6802</v>
      </c>
      <c r="D287" s="8">
        <f t="shared" si="69"/>
        <v>620.5318589328309</v>
      </c>
      <c r="E287" s="7">
        <f t="shared" si="74"/>
        <v>1.5387403744675399</v>
      </c>
      <c r="F287" s="7"/>
      <c r="G287">
        <f t="shared" si="75"/>
        <v>620.1465524</v>
      </c>
      <c r="H287" s="8">
        <f t="shared" si="76"/>
        <v>0.3853065328308958</v>
      </c>
      <c r="I287" s="30">
        <f>IF(H287&lt;1,(Data!$G$16+14+0.8*Data!$G$17+Data!$G$18*(1-H287))*(1-H287),(Data!$G$16+6+Data!$G$17*(H287-0.6))*(H287-0.6))</f>
        <v>17.475358424160383</v>
      </c>
      <c r="J287" s="28">
        <f t="shared" si="63"/>
        <v>110.23204659364146</v>
      </c>
      <c r="K287" t="str">
        <f t="shared" si="77"/>
        <v>Cut</v>
      </c>
      <c r="L287" s="28">
        <f t="shared" si="78"/>
        <v>110.23204659364146</v>
      </c>
      <c r="M287" s="28">
        <f t="shared" si="79"/>
        <v>0</v>
      </c>
      <c r="N287" s="28">
        <f>SUM($L$3:L287)</f>
        <v>76667.97022166227</v>
      </c>
      <c r="O287" s="28">
        <f>SUM($M$3:M287)</f>
        <v>76203.21442350539</v>
      </c>
      <c r="Q287">
        <f>MATCH(C287,Ground!$A$3:$A$1999,1)</f>
        <v>94</v>
      </c>
      <c r="R287">
        <f ca="1">OFFSET(Ground!$A$2,Volume!Q287,0)</f>
        <v>6790</v>
      </c>
      <c r="S287">
        <f ca="1">OFFSET(Ground!$A$2,Volume!Q287,1)</f>
        <v>620.078376</v>
      </c>
      <c r="T287">
        <f ca="1">OFFSET(Ground!$A$2,Volume!Q287+1,0)</f>
        <v>6820</v>
      </c>
      <c r="U287">
        <f ca="1">OFFSET(Ground!$A$2,Volume!Q287+1,1)</f>
        <v>620.248817</v>
      </c>
      <c r="V287" s="26"/>
      <c r="W287">
        <f t="shared" si="72"/>
        <v>-32.02156410067953</v>
      </c>
      <c r="X287">
        <f>IF(Volume!W287&lt;'Temp Calcs'!$E$8,1,0)</f>
        <v>1</v>
      </c>
      <c r="Z287">
        <f t="shared" si="73"/>
        <v>31.44717768353106</v>
      </c>
      <c r="AA287">
        <f>IF(Volume!Z287&gt;'Temp Calcs'!$L$8,1,0)</f>
        <v>1</v>
      </c>
      <c r="AB287" s="8"/>
      <c r="AC287" s="7"/>
    </row>
    <row r="288" spans="1:29" ht="12.75">
      <c r="A288" s="1">
        <v>287</v>
      </c>
      <c r="C288" s="7">
        <f t="shared" si="71"/>
        <v>6808</v>
      </c>
      <c r="D288" s="8">
        <f t="shared" si="69"/>
        <v>620.6221997642668</v>
      </c>
      <c r="E288" s="7">
        <f t="shared" si="74"/>
        <v>1.4726206733977225</v>
      </c>
      <c r="F288" s="7"/>
      <c r="G288">
        <f t="shared" si="75"/>
        <v>620.1806406000001</v>
      </c>
      <c r="H288" s="8">
        <f t="shared" si="76"/>
        <v>0.44155916426677777</v>
      </c>
      <c r="I288" s="30">
        <f>IF(H288&lt;1,(Data!$G$16+14+0.8*Data!$G$17+Data!$G$18*(1-H288))*(1-H288),(Data!$G$16+6+Data!$G$17*(H288-0.6))*(H288-0.6))</f>
        <v>15.813303065972484</v>
      </c>
      <c r="J288" s="28">
        <f t="shared" si="63"/>
        <v>99.8659844703986</v>
      </c>
      <c r="K288" t="str">
        <f t="shared" si="77"/>
        <v>Cut</v>
      </c>
      <c r="L288" s="28">
        <f t="shared" si="78"/>
        <v>99.8659844703986</v>
      </c>
      <c r="M288" s="28">
        <f t="shared" si="79"/>
        <v>0</v>
      </c>
      <c r="N288" s="28">
        <f>SUM($L$3:L288)</f>
        <v>76767.83620613266</v>
      </c>
      <c r="O288" s="28">
        <f>SUM($M$3:M288)</f>
        <v>76203.21442350539</v>
      </c>
      <c r="Q288">
        <f>MATCH(C288,Ground!$A$3:$A$1999,1)</f>
        <v>94</v>
      </c>
      <c r="R288">
        <f ca="1">OFFSET(Ground!$A$2,Volume!Q288,0)</f>
        <v>6790</v>
      </c>
      <c r="S288">
        <f ca="1">OFFSET(Ground!$A$2,Volume!Q288,1)</f>
        <v>620.078376</v>
      </c>
      <c r="T288">
        <f ca="1">OFFSET(Ground!$A$2,Volume!Q288+1,0)</f>
        <v>6820</v>
      </c>
      <c r="U288">
        <f ca="1">OFFSET(Ground!$A$2,Volume!Q288+1,1)</f>
        <v>620.248817</v>
      </c>
      <c r="V288" s="26"/>
      <c r="W288">
        <f t="shared" si="72"/>
        <v>-32.169648920678114</v>
      </c>
      <c r="X288">
        <f>IF(Volume!W288&lt;'Temp Calcs'!$E$8,1,0)</f>
        <v>1</v>
      </c>
      <c r="Z288">
        <f t="shared" si="73"/>
        <v>31.597735578186914</v>
      </c>
      <c r="AA288">
        <f>IF(Volume!Z288&gt;'Temp Calcs'!$L$8,1,0)</f>
        <v>1</v>
      </c>
      <c r="AB288" s="8"/>
      <c r="AC288" s="7"/>
    </row>
    <row r="289" spans="1:29" ht="12.75">
      <c r="A289" s="1">
        <v>288</v>
      </c>
      <c r="C289" s="7">
        <f t="shared" si="71"/>
        <v>6814</v>
      </c>
      <c r="D289" s="8">
        <f t="shared" si="69"/>
        <v>620.7085734136386</v>
      </c>
      <c r="E289" s="7">
        <f t="shared" si="74"/>
        <v>1.4065009723279052</v>
      </c>
      <c r="F289" s="7"/>
      <c r="G289">
        <f t="shared" si="75"/>
        <v>620.2147288</v>
      </c>
      <c r="H289" s="8">
        <f t="shared" si="76"/>
        <v>0.4938446136386574</v>
      </c>
      <c r="I289" s="30">
        <f>IF(H289&lt;1,(Data!$G$16+14+0.8*Data!$G$17+Data!$G$18*(1-H289))*(1-H289),(Data!$G$16+6+Data!$G$17*(H289-0.6))*(H289-0.6))</f>
        <v>14.27981305931372</v>
      </c>
      <c r="J289" s="28">
        <f t="shared" si="63"/>
        <v>90.2793483758586</v>
      </c>
      <c r="K289" t="str">
        <f t="shared" si="77"/>
        <v>Cut</v>
      </c>
      <c r="L289" s="28">
        <f t="shared" si="78"/>
        <v>90.2793483758586</v>
      </c>
      <c r="M289" s="28">
        <f t="shared" si="79"/>
        <v>0</v>
      </c>
      <c r="N289" s="28">
        <f>SUM($L$3:L289)</f>
        <v>76858.11555450852</v>
      </c>
      <c r="O289" s="28">
        <f>SUM($M$3:M289)</f>
        <v>76203.21442350539</v>
      </c>
      <c r="Q289">
        <f>MATCH(C289,Ground!$A$3:$A$1999,1)</f>
        <v>94</v>
      </c>
      <c r="R289">
        <f ca="1">OFFSET(Ground!$A$2,Volume!Q289,0)</f>
        <v>6790</v>
      </c>
      <c r="S289">
        <f ca="1">OFFSET(Ground!$A$2,Volume!Q289,1)</f>
        <v>620.078376</v>
      </c>
      <c r="T289">
        <f ca="1">OFFSET(Ground!$A$2,Volume!Q289+1,0)</f>
        <v>6820</v>
      </c>
      <c r="U289">
        <f ca="1">OFFSET(Ground!$A$2,Volume!Q289+1,1)</f>
        <v>620.248817</v>
      </c>
      <c r="V289" s="26"/>
      <c r="W289">
        <f t="shared" si="72"/>
        <v>-32.32254916505944</v>
      </c>
      <c r="X289">
        <f>IF(Volume!W289&lt;'Temp Calcs'!$E$8,1,0)</f>
        <v>1</v>
      </c>
      <c r="Z289">
        <f t="shared" si="73"/>
        <v>31.7529804636384</v>
      </c>
      <c r="AA289">
        <f>IF(Volume!Z289&gt;'Temp Calcs'!$L$8,1,0)</f>
        <v>1</v>
      </c>
      <c r="AB289" s="8"/>
      <c r="AC289" s="7"/>
    </row>
    <row r="290" spans="1:29" ht="12.75">
      <c r="A290" s="1">
        <v>289</v>
      </c>
      <c r="C290" s="7">
        <f t="shared" si="71"/>
        <v>6820</v>
      </c>
      <c r="D290" s="8">
        <f t="shared" si="69"/>
        <v>620.7909798809462</v>
      </c>
      <c r="E290" s="7">
        <f t="shared" si="74"/>
        <v>1.3403812712580874</v>
      </c>
      <c r="F290" s="7"/>
      <c r="G290">
        <f t="shared" si="75"/>
        <v>620.248817</v>
      </c>
      <c r="H290" s="8">
        <f t="shared" si="76"/>
        <v>0.5421628809461936</v>
      </c>
      <c r="I290" s="30">
        <f>IF(H290&lt;1,(Data!$G$16+14+0.8*Data!$G$17+Data!$G$18*(1-H290))*(1-H290),(Data!$G$16+6+Data!$G$17*(H290-0.6))*(H290-0.6))</f>
        <v>12.872399293430513</v>
      </c>
      <c r="J290" s="28">
        <f t="shared" si="63"/>
        <v>81.4566370582327</v>
      </c>
      <c r="K290" t="str">
        <f t="shared" si="77"/>
        <v>Fill</v>
      </c>
      <c r="L290" s="28">
        <f t="shared" si="78"/>
        <v>0</v>
      </c>
      <c r="M290" s="28">
        <f t="shared" si="79"/>
        <v>81.4566370582327</v>
      </c>
      <c r="N290" s="28">
        <f>SUM($L$3:L290)</f>
        <v>76858.11555450852</v>
      </c>
      <c r="O290" s="28">
        <f>SUM($M$3:M290)</f>
        <v>76284.67106056362</v>
      </c>
      <c r="Q290">
        <f>MATCH(C290,Ground!$A$3:$A$1999,1)</f>
        <v>95</v>
      </c>
      <c r="R290">
        <f ca="1">OFFSET(Ground!$A$2,Volume!Q290,0)</f>
        <v>6820</v>
      </c>
      <c r="S290">
        <f ca="1">OFFSET(Ground!$A$2,Volume!Q290,1)</f>
        <v>620.248817</v>
      </c>
      <c r="T290">
        <f ca="1">OFFSET(Ground!$A$2,Volume!Q290+1,0)</f>
        <v>6850</v>
      </c>
      <c r="U290">
        <f ca="1">OFFSET(Ground!$A$2,Volume!Q290+1,1)</f>
        <v>620.296182</v>
      </c>
      <c r="V290" s="26"/>
      <c r="W290">
        <f t="shared" si="72"/>
        <v>-32.48029187616369</v>
      </c>
      <c r="X290">
        <f>IF(Volume!W290&lt;'Temp Calcs'!$E$8,1,0)</f>
        <v>1</v>
      </c>
      <c r="Z290">
        <f t="shared" si="73"/>
        <v>31.912942274984687</v>
      </c>
      <c r="AA290">
        <f>IF(Volume!Z290&gt;'Temp Calcs'!$L$8,1,0)</f>
        <v>1</v>
      </c>
      <c r="AB290" s="8"/>
      <c r="AC290" s="7"/>
    </row>
    <row r="291" spans="1:29" ht="12.75">
      <c r="A291" s="1">
        <v>290</v>
      </c>
      <c r="C291" s="7">
        <f t="shared" si="71"/>
        <v>6826</v>
      </c>
      <c r="D291" s="8">
        <f t="shared" si="69"/>
        <v>620.8694191661896</v>
      </c>
      <c r="E291" s="7">
        <f t="shared" si="74"/>
        <v>1.27426157018827</v>
      </c>
      <c r="F291" s="7"/>
      <c r="G291">
        <f t="shared" si="75"/>
        <v>620.25829</v>
      </c>
      <c r="H291" s="8">
        <f t="shared" si="76"/>
        <v>0.6111291661895848</v>
      </c>
      <c r="I291" s="30">
        <f>IF(H291&lt;1,(Data!$G$16+14+0.8*Data!$G$17+Data!$G$18*(1-H291))*(1-H291),(Data!$G$16+6+Data!$G$17*(H291-0.6))*(H291-0.6))</f>
        <v>10.87972773042011</v>
      </c>
      <c r="J291" s="28">
        <f t="shared" si="63"/>
        <v>71.25638107155187</v>
      </c>
      <c r="K291" t="str">
        <f t="shared" si="77"/>
        <v>Fill</v>
      </c>
      <c r="L291" s="28">
        <f t="shared" si="78"/>
        <v>0</v>
      </c>
      <c r="M291" s="28">
        <f t="shared" si="79"/>
        <v>71.25638107155187</v>
      </c>
      <c r="N291" s="28">
        <f>SUM($L$3:L291)</f>
        <v>76858.11555450852</v>
      </c>
      <c r="O291" s="28">
        <f>SUM($M$3:M291)</f>
        <v>76355.92744163517</v>
      </c>
      <c r="Q291">
        <f>MATCH(C291,Ground!$A$3:$A$1999,1)</f>
        <v>95</v>
      </c>
      <c r="R291">
        <f ca="1">OFFSET(Ground!$A$2,Volume!Q291,0)</f>
        <v>6820</v>
      </c>
      <c r="S291">
        <f ca="1">OFFSET(Ground!$A$2,Volume!Q291,1)</f>
        <v>620.248817</v>
      </c>
      <c r="T291">
        <f ca="1">OFFSET(Ground!$A$2,Volume!Q291+1,0)</f>
        <v>6850</v>
      </c>
      <c r="U291">
        <f ca="1">OFFSET(Ground!$A$2,Volume!Q291+1,1)</f>
        <v>620.296182</v>
      </c>
      <c r="V291" s="26"/>
      <c r="W291">
        <f t="shared" si="72"/>
        <v>-32.64290909586778</v>
      </c>
      <c r="X291">
        <f>IF(Volume!W291&lt;'Temp Calcs'!$E$8,1,0)</f>
        <v>1</v>
      </c>
      <c r="Z291">
        <f t="shared" si="73"/>
        <v>32.07765576010476</v>
      </c>
      <c r="AA291">
        <f>IF(Volume!Z291&gt;'Temp Calcs'!$L$8,1,0)</f>
        <v>1</v>
      </c>
      <c r="AB291" s="8"/>
      <c r="AC291" s="7"/>
    </row>
    <row r="292" spans="1:29" ht="12.75">
      <c r="A292" s="1">
        <v>291</v>
      </c>
      <c r="C292" s="7">
        <f t="shared" si="71"/>
        <v>6832</v>
      </c>
      <c r="D292" s="8">
        <f t="shared" si="69"/>
        <v>620.9438912693688</v>
      </c>
      <c r="E292" s="7">
        <f t="shared" si="74"/>
        <v>1.2081418691184531</v>
      </c>
      <c r="F292" s="7"/>
      <c r="G292">
        <f t="shared" si="75"/>
        <v>620.2677630000001</v>
      </c>
      <c r="H292" s="8">
        <f t="shared" si="76"/>
        <v>0.6761282693687463</v>
      </c>
      <c r="I292" s="30">
        <f>IF(H292&lt;1,(Data!$G$16+14+0.8*Data!$G$17+Data!$G$18*(1-H292))*(1-H292),(Data!$G$16+6+Data!$G$17*(H292-0.6))*(H292-0.6))</f>
        <v>9.019096868974268</v>
      </c>
      <c r="J292" s="28">
        <f aca="true" t="shared" si="80" ref="J292:J355">(I292+I291)/2*(C292-C291)</f>
        <v>59.696473798183135</v>
      </c>
      <c r="K292" t="str">
        <f t="shared" si="77"/>
        <v>Fill</v>
      </c>
      <c r="L292" s="28">
        <f t="shared" si="78"/>
        <v>0</v>
      </c>
      <c r="M292" s="28">
        <f t="shared" si="79"/>
        <v>59.696473798183135</v>
      </c>
      <c r="N292" s="28">
        <f>SUM($L$3:L292)</f>
        <v>76858.11555450852</v>
      </c>
      <c r="O292" s="28">
        <f>SUM($M$3:M292)</f>
        <v>76415.62391543335</v>
      </c>
      <c r="Q292">
        <f>MATCH(C292,Ground!$A$3:$A$1999,1)</f>
        <v>95</v>
      </c>
      <c r="R292">
        <f ca="1">OFFSET(Ground!$A$2,Volume!Q292,0)</f>
        <v>6820</v>
      </c>
      <c r="S292">
        <f ca="1">OFFSET(Ground!$A$2,Volume!Q292,1)</f>
        <v>620.248817</v>
      </c>
      <c r="T292">
        <f ca="1">OFFSET(Ground!$A$2,Volume!Q292+1,0)</f>
        <v>6850</v>
      </c>
      <c r="U292">
        <f ca="1">OFFSET(Ground!$A$2,Volume!Q292+1,1)</f>
        <v>620.296182</v>
      </c>
      <c r="V292" s="26"/>
      <c r="W292">
        <f t="shared" si="72"/>
        <v>-32.81043782855868</v>
      </c>
      <c r="X292">
        <f>IF(Volume!W292&lt;'Temp Calcs'!$E$8,1,0)</f>
        <v>1</v>
      </c>
      <c r="Z292">
        <f t="shared" si="73"/>
        <v>32.24716045128189</v>
      </c>
      <c r="AA292">
        <f>IF(Volume!Z292&gt;'Temp Calcs'!$L$8,1,0)</f>
        <v>1</v>
      </c>
      <c r="AB292" s="8"/>
      <c r="AC292" s="7"/>
    </row>
    <row r="293" spans="1:29" ht="12.75">
      <c r="A293" s="1">
        <v>292</v>
      </c>
      <c r="C293" s="7">
        <f t="shared" si="71"/>
        <v>6838</v>
      </c>
      <c r="D293" s="8">
        <f t="shared" si="69"/>
        <v>621.0143961904838</v>
      </c>
      <c r="E293" s="7">
        <f t="shared" si="74"/>
        <v>1.1420221680486358</v>
      </c>
      <c r="F293" s="7"/>
      <c r="G293">
        <f t="shared" si="75"/>
        <v>620.277236</v>
      </c>
      <c r="H293" s="8">
        <f t="shared" si="76"/>
        <v>0.7371601904837917</v>
      </c>
      <c r="I293" s="30">
        <f>IF(H293&lt;1,(Data!$G$16+14+0.8*Data!$G$17+Data!$G$18*(1-H293))*(1-H293),(Data!$G$16+6+Data!$G$17*(H293-0.6))*(H293-0.6))</f>
        <v>7.2874123497739</v>
      </c>
      <c r="J293" s="28">
        <f t="shared" si="80"/>
        <v>48.919527656244504</v>
      </c>
      <c r="K293" t="str">
        <f t="shared" si="77"/>
        <v>Fill</v>
      </c>
      <c r="L293" s="28">
        <f t="shared" si="78"/>
        <v>0</v>
      </c>
      <c r="M293" s="28">
        <f t="shared" si="79"/>
        <v>48.919527656244504</v>
      </c>
      <c r="N293" s="28">
        <f>SUM($L$3:L293)</f>
        <v>76858.11555450852</v>
      </c>
      <c r="O293" s="28">
        <f>SUM($M$3:M293)</f>
        <v>76464.54344308958</v>
      </c>
      <c r="Q293">
        <f>MATCH(C293,Ground!$A$3:$A$1999,1)</f>
        <v>95</v>
      </c>
      <c r="R293">
        <f ca="1">OFFSET(Ground!$A$2,Volume!Q293,0)</f>
        <v>6820</v>
      </c>
      <c r="S293">
        <f ca="1">OFFSET(Ground!$A$2,Volume!Q293,1)</f>
        <v>620.248817</v>
      </c>
      <c r="T293">
        <f ca="1">OFFSET(Ground!$A$2,Volume!Q293+1,0)</f>
        <v>6850</v>
      </c>
      <c r="U293">
        <f ca="1">OFFSET(Ground!$A$2,Volume!Q293+1,1)</f>
        <v>620.296182</v>
      </c>
      <c r="V293" s="26"/>
      <c r="W293">
        <f t="shared" si="72"/>
        <v>-32.98292001875922</v>
      </c>
      <c r="X293">
        <f>IF(Volume!W293&lt;'Temp Calcs'!$E$8,1,0)</f>
        <v>1</v>
      </c>
      <c r="Z293">
        <f t="shared" si="73"/>
        <v>32.42150065078931</v>
      </c>
      <c r="AA293">
        <f>IF(Volume!Z293&gt;'Temp Calcs'!$L$8,1,0)</f>
        <v>1</v>
      </c>
      <c r="AB293" s="8"/>
      <c r="AC293" s="7"/>
    </row>
    <row r="294" spans="1:29" ht="12.75">
      <c r="A294" s="1">
        <v>293</v>
      </c>
      <c r="C294" s="7">
        <f t="shared" si="71"/>
        <v>6844</v>
      </c>
      <c r="D294" s="8">
        <f t="shared" si="69"/>
        <v>621.0809339295347</v>
      </c>
      <c r="E294" s="7">
        <f t="shared" si="74"/>
        <v>1.075902466978818</v>
      </c>
      <c r="F294" s="7"/>
      <c r="G294">
        <f t="shared" si="75"/>
        <v>620.2867090000001</v>
      </c>
      <c r="H294" s="8">
        <f t="shared" si="76"/>
        <v>0.7942249295346073</v>
      </c>
      <c r="I294" s="30">
        <f>IF(H294&lt;1,(Data!$G$16+14+0.8*Data!$G$17+Data!$G$18*(1-H294))*(1-H294),(Data!$G$16+6+Data!$G$17*(H294-0.6))*(H294-0.6))</f>
        <v>5.681768675908756</v>
      </c>
      <c r="J294" s="28">
        <f t="shared" si="80"/>
        <v>38.90754307704796</v>
      </c>
      <c r="K294" t="str">
        <f t="shared" si="77"/>
        <v>Fill</v>
      </c>
      <c r="L294" s="28">
        <f t="shared" si="78"/>
        <v>0</v>
      </c>
      <c r="M294" s="28">
        <f t="shared" si="79"/>
        <v>38.90754307704796</v>
      </c>
      <c r="N294" s="28">
        <f>SUM($L$3:L294)</f>
        <v>76858.11555450852</v>
      </c>
      <c r="O294" s="28">
        <f>SUM($M$3:M294)</f>
        <v>76503.45098616663</v>
      </c>
      <c r="Q294">
        <f>MATCH(C294,Ground!$A$3:$A$1999,1)</f>
        <v>95</v>
      </c>
      <c r="R294">
        <f ca="1">OFFSET(Ground!$A$2,Volume!Q294,0)</f>
        <v>6820</v>
      </c>
      <c r="S294">
        <f ca="1">OFFSET(Ground!$A$2,Volume!Q294,1)</f>
        <v>620.248817</v>
      </c>
      <c r="T294">
        <f ca="1">OFFSET(Ground!$A$2,Volume!Q294+1,0)</f>
        <v>6850</v>
      </c>
      <c r="U294">
        <f ca="1">OFFSET(Ground!$A$2,Volume!Q294+1,1)</f>
        <v>620.296182</v>
      </c>
      <c r="V294" s="26"/>
      <c r="W294">
        <f t="shared" si="72"/>
        <v>-33.160402542942265</v>
      </c>
      <c r="X294">
        <f>IF(Volume!W294&lt;'Temp Calcs'!$E$8,1,0)</f>
        <v>1</v>
      </c>
      <c r="Z294">
        <f t="shared" si="73"/>
        <v>32.60072543002182</v>
      </c>
      <c r="AA294">
        <f>IF(Volume!Z294&gt;'Temp Calcs'!$L$8,1,0)</f>
        <v>1</v>
      </c>
      <c r="AB294" s="8"/>
      <c r="AC294" s="7"/>
    </row>
    <row r="295" spans="1:29" ht="12.75">
      <c r="A295" s="1">
        <v>294</v>
      </c>
      <c r="C295" s="7">
        <f t="shared" si="71"/>
        <v>6850</v>
      </c>
      <c r="D295" s="8">
        <f t="shared" si="69"/>
        <v>621.1435044865214</v>
      </c>
      <c r="E295" s="7">
        <f t="shared" si="74"/>
        <v>1.0097827659090006</v>
      </c>
      <c r="F295" s="7"/>
      <c r="G295">
        <f t="shared" si="75"/>
        <v>620.296182</v>
      </c>
      <c r="H295" s="8">
        <f t="shared" si="76"/>
        <v>0.8473224865213069</v>
      </c>
      <c r="I295" s="30">
        <f>IF(H295&lt;1,(Data!$G$16+14+0.8*Data!$G$17+Data!$G$18*(1-H295))*(1-H295),(Data!$G$16+6+Data!$G$17*(H295-0.6))*(H295-0.6))</f>
        <v>4.199449212864525</v>
      </c>
      <c r="J295" s="28">
        <f t="shared" si="80"/>
        <v>29.643653666319842</v>
      </c>
      <c r="K295" t="str">
        <f t="shared" si="77"/>
        <v>Fill</v>
      </c>
      <c r="L295" s="28">
        <f t="shared" si="78"/>
        <v>0</v>
      </c>
      <c r="M295" s="28">
        <f t="shared" si="79"/>
        <v>29.643653666319842</v>
      </c>
      <c r="N295" s="28">
        <f>SUM($L$3:L295)</f>
        <v>76858.11555450852</v>
      </c>
      <c r="O295" s="28">
        <f>SUM($M$3:M295)</f>
        <v>76533.09463983295</v>
      </c>
      <c r="Q295">
        <f>MATCH(C295,Ground!$A$3:$A$1999,1)</f>
        <v>96</v>
      </c>
      <c r="R295">
        <f ca="1">OFFSET(Ground!$A$2,Volume!Q295,0)</f>
        <v>6850</v>
      </c>
      <c r="S295">
        <f ca="1">OFFSET(Ground!$A$2,Volume!Q295,1)</f>
        <v>620.296182</v>
      </c>
      <c r="T295">
        <f ca="1">OFFSET(Ground!$A$2,Volume!Q295+1,0)</f>
        <v>6880</v>
      </c>
      <c r="U295">
        <f ca="1">OFFSET(Ground!$A$2,Volume!Q295+1,1)</f>
        <v>620.374762</v>
      </c>
      <c r="V295" s="26"/>
      <c r="W295">
        <f t="shared" si="72"/>
        <v>-33.342937215160305</v>
      </c>
      <c r="X295">
        <f>IF(Volume!W295&lt;'Temp Calcs'!$E$8,1,0)</f>
        <v>1</v>
      </c>
      <c r="Z295">
        <f t="shared" si="73"/>
        <v>32.784888641844184</v>
      </c>
      <c r="AA295">
        <f>IF(Volume!Z295&gt;'Temp Calcs'!$L$8,1,0)</f>
        <v>1</v>
      </c>
      <c r="AB295" s="8"/>
      <c r="AC295" s="7"/>
    </row>
    <row r="296" spans="1:29" ht="12.75">
      <c r="A296" s="1">
        <v>295</v>
      </c>
      <c r="C296" s="7">
        <f t="shared" si="71"/>
        <v>6856</v>
      </c>
      <c r="D296" s="8">
        <f t="shared" si="69"/>
        <v>621.2021078614438</v>
      </c>
      <c r="E296" s="7">
        <f t="shared" si="74"/>
        <v>0.9436630648391833</v>
      </c>
      <c r="F296" s="7"/>
      <c r="G296">
        <f t="shared" si="75"/>
        <v>620.311898</v>
      </c>
      <c r="H296" s="8">
        <f t="shared" si="76"/>
        <v>0.8902098614437364</v>
      </c>
      <c r="I296" s="30">
        <f>IF(H296&lt;1,(Data!$G$16+14+0.8*Data!$G$17+Data!$G$18*(1-H296))*(1-H296),(Data!$G$16+6+Data!$G$17*(H296-0.6))*(H296-0.6))</f>
        <v>3.0103995177787777</v>
      </c>
      <c r="J296" s="28">
        <f t="shared" si="80"/>
        <v>21.629546191929908</v>
      </c>
      <c r="K296" t="str">
        <f t="shared" si="77"/>
        <v>Fill</v>
      </c>
      <c r="L296" s="28">
        <f t="shared" si="78"/>
        <v>0</v>
      </c>
      <c r="M296" s="28">
        <f t="shared" si="79"/>
        <v>21.629546191929908</v>
      </c>
      <c r="N296" s="28">
        <f>SUM($L$3:L296)</f>
        <v>76858.11555450852</v>
      </c>
      <c r="O296" s="28">
        <f>SUM($M$3:M296)</f>
        <v>76554.72418602489</v>
      </c>
      <c r="Q296">
        <f>MATCH(C296,Ground!$A$3:$A$1999,1)</f>
        <v>96</v>
      </c>
      <c r="R296">
        <f ca="1">OFFSET(Ground!$A$2,Volume!Q296,0)</f>
        <v>6850</v>
      </c>
      <c r="S296">
        <f ca="1">OFFSET(Ground!$A$2,Volume!Q296,1)</f>
        <v>620.296182</v>
      </c>
      <c r="T296">
        <f ca="1">OFFSET(Ground!$A$2,Volume!Q296+1,0)</f>
        <v>6880</v>
      </c>
      <c r="U296">
        <f ca="1">OFFSET(Ground!$A$2,Volume!Q296+1,1)</f>
        <v>620.374762</v>
      </c>
      <c r="V296" s="26"/>
      <c r="W296">
        <f t="shared" si="72"/>
        <v>-33.530580806193434</v>
      </c>
      <c r="X296">
        <f>IF(Volume!W296&lt;'Temp Calcs'!$E$8,1,0)</f>
        <v>1</v>
      </c>
      <c r="Z296">
        <f t="shared" si="73"/>
        <v>32.974048945898936</v>
      </c>
      <c r="AA296">
        <f>IF(Volume!Z296&gt;'Temp Calcs'!$L$8,1,0)</f>
        <v>1</v>
      </c>
      <c r="AB296" s="8"/>
      <c r="AC296" s="7"/>
    </row>
    <row r="297" spans="1:29" ht="12.75">
      <c r="A297" s="1">
        <v>296</v>
      </c>
      <c r="C297" s="7">
        <f t="shared" si="71"/>
        <v>6862</v>
      </c>
      <c r="D297" s="8">
        <f t="shared" si="69"/>
        <v>621.256744054302</v>
      </c>
      <c r="E297" s="7">
        <f t="shared" si="74"/>
        <v>0.8775433637693659</v>
      </c>
      <c r="F297" s="7"/>
      <c r="G297">
        <f t="shared" si="75"/>
        <v>620.327614</v>
      </c>
      <c r="H297" s="8">
        <f t="shared" si="76"/>
        <v>0.9291300543019361</v>
      </c>
      <c r="I297" s="30">
        <f>IF(H297&lt;1,(Data!$G$16+14+0.8*Data!$G$17+Data!$G$18*(1-H297))*(1-H297),(Data!$G$16+6+Data!$G$17*(H297-0.6))*(H297-0.6))</f>
        <v>1.9377076213938318</v>
      </c>
      <c r="J297" s="28">
        <f t="shared" si="80"/>
        <v>14.844321417517829</v>
      </c>
      <c r="K297" t="str">
        <f t="shared" si="77"/>
        <v>Fill</v>
      </c>
      <c r="L297" s="28">
        <f t="shared" si="78"/>
        <v>0</v>
      </c>
      <c r="M297" s="28">
        <f t="shared" si="79"/>
        <v>14.844321417517829</v>
      </c>
      <c r="N297" s="28">
        <f>SUM($L$3:L297)</f>
        <v>76858.11555450852</v>
      </c>
      <c r="O297" s="28">
        <f>SUM($M$3:M297)</f>
        <v>76569.56850744241</v>
      </c>
      <c r="Q297">
        <f>MATCH(C297,Ground!$A$3:$A$1999,1)</f>
        <v>96</v>
      </c>
      <c r="R297">
        <f ca="1">OFFSET(Ground!$A$2,Volume!Q297,0)</f>
        <v>6850</v>
      </c>
      <c r="S297">
        <f ca="1">OFFSET(Ground!$A$2,Volume!Q297,1)</f>
        <v>620.296182</v>
      </c>
      <c r="T297">
        <f ca="1">OFFSET(Ground!$A$2,Volume!Q297+1,0)</f>
        <v>6880</v>
      </c>
      <c r="U297">
        <f ca="1">OFFSET(Ground!$A$2,Volume!Q297+1,1)</f>
        <v>620.374762</v>
      </c>
      <c r="V297" s="26"/>
      <c r="W297">
        <f t="shared" si="72"/>
        <v>-33.72339507599999</v>
      </c>
      <c r="X297">
        <f>IF(Volume!W297&lt;'Temp Calcs'!$E$8,1,0)</f>
        <v>1</v>
      </c>
      <c r="Z297">
        <f t="shared" si="73"/>
        <v>33.16826984669369</v>
      </c>
      <c r="AA297">
        <f>IF(Volume!Z297&gt;'Temp Calcs'!$L$8,1,0)</f>
        <v>1</v>
      </c>
      <c r="AB297" s="8"/>
      <c r="AC297" s="7"/>
    </row>
    <row r="298" spans="1:29" ht="12.75">
      <c r="A298" s="1">
        <v>297</v>
      </c>
      <c r="C298" s="7">
        <f t="shared" si="71"/>
        <v>6868</v>
      </c>
      <c r="D298" s="8">
        <f t="shared" si="69"/>
        <v>621.3074130650961</v>
      </c>
      <c r="E298" s="7">
        <f t="shared" si="74"/>
        <v>0.8114236626995486</v>
      </c>
      <c r="F298" s="7"/>
      <c r="G298">
        <f t="shared" si="75"/>
        <v>620.34333</v>
      </c>
      <c r="H298" s="8">
        <f t="shared" si="76"/>
        <v>0.9640830650960197</v>
      </c>
      <c r="I298" s="30">
        <f>IF(H298&lt;1,(Data!$G$16+14+0.8*Data!$G$17+Data!$G$18*(1-H298))*(1-H298),(Data!$G$16+6+Data!$G$17*(H298-0.6))*(H298-0.6))</f>
        <v>0.9795206818140574</v>
      </c>
      <c r="J298" s="28">
        <f t="shared" si="80"/>
        <v>8.751684909623668</v>
      </c>
      <c r="K298" t="str">
        <f t="shared" si="77"/>
        <v>Fill</v>
      </c>
      <c r="L298" s="28">
        <f t="shared" si="78"/>
        <v>0</v>
      </c>
      <c r="M298" s="28">
        <f t="shared" si="79"/>
        <v>8.751684909623668</v>
      </c>
      <c r="N298" s="28">
        <f>SUM($L$3:L298)</f>
        <v>76858.11555450852</v>
      </c>
      <c r="O298" s="28">
        <f>SUM($M$3:M298)</f>
        <v>76578.32019235204</v>
      </c>
      <c r="Q298">
        <f>MATCH(C298,Ground!$A$3:$A$1999,1)</f>
        <v>96</v>
      </c>
      <c r="R298">
        <f ca="1">OFFSET(Ground!$A$2,Volume!Q298,0)</f>
        <v>6850</v>
      </c>
      <c r="S298">
        <f ca="1">OFFSET(Ground!$A$2,Volume!Q298,1)</f>
        <v>620.296182</v>
      </c>
      <c r="T298">
        <f ca="1">OFFSET(Ground!$A$2,Volume!Q298+1,0)</f>
        <v>6880</v>
      </c>
      <c r="U298">
        <f ca="1">OFFSET(Ground!$A$2,Volume!Q298+1,1)</f>
        <v>620.374762</v>
      </c>
      <c r="V298" s="26"/>
      <c r="W298">
        <f t="shared" si="72"/>
        <v>-33.9214468193248</v>
      </c>
      <c r="X298">
        <f>IF(Volume!W298&lt;'Temp Calcs'!$E$8,1,0)</f>
        <v>1</v>
      </c>
      <c r="Z298">
        <f t="shared" si="73"/>
        <v>33.36761974435522</v>
      </c>
      <c r="AA298">
        <f>IF(Volume!Z298&gt;'Temp Calcs'!$L$8,1,0)</f>
        <v>1</v>
      </c>
      <c r="AB298" s="8"/>
      <c r="AC298" s="7"/>
    </row>
    <row r="299" spans="1:29" ht="12.75">
      <c r="A299" s="1">
        <v>298</v>
      </c>
      <c r="C299" s="7">
        <f t="shared" si="71"/>
        <v>6874</v>
      </c>
      <c r="D299" s="8">
        <f t="shared" si="69"/>
        <v>621.3541148938259</v>
      </c>
      <c r="E299" s="7">
        <f t="shared" si="74"/>
        <v>0.7453039616297312</v>
      </c>
      <c r="F299" s="7"/>
      <c r="G299">
        <f t="shared" si="75"/>
        <v>620.359046</v>
      </c>
      <c r="H299" s="8">
        <f t="shared" si="76"/>
        <v>0.9950688938258736</v>
      </c>
      <c r="I299" s="30">
        <f>IF(H299&lt;1,(Data!$G$16+14+0.8*Data!$G$17+Data!$G$18*(1-H299))*(1-H299),(Data!$G$16+6+Data!$G$17*(H299-0.6))*(H299-0.6))</f>
        <v>0.13417471955243904</v>
      </c>
      <c r="J299" s="28">
        <f t="shared" si="80"/>
        <v>3.341086204099489</v>
      </c>
      <c r="K299" t="str">
        <f t="shared" si="77"/>
        <v>Fill</v>
      </c>
      <c r="L299" s="28">
        <f t="shared" si="78"/>
        <v>0</v>
      </c>
      <c r="M299" s="28">
        <f t="shared" si="79"/>
        <v>3.341086204099489</v>
      </c>
      <c r="N299" s="28">
        <f>SUM($L$3:L299)</f>
        <v>76858.11555450852</v>
      </c>
      <c r="O299" s="28">
        <f>SUM($M$3:M299)</f>
        <v>76581.66127855614</v>
      </c>
      <c r="Q299">
        <f>MATCH(C299,Ground!$A$3:$A$1999,1)</f>
        <v>96</v>
      </c>
      <c r="R299">
        <f ca="1">OFFSET(Ground!$A$2,Volume!Q299,0)</f>
        <v>6850</v>
      </c>
      <c r="S299">
        <f ca="1">OFFSET(Ground!$A$2,Volume!Q299,1)</f>
        <v>620.296182</v>
      </c>
      <c r="T299">
        <f ca="1">OFFSET(Ground!$A$2,Volume!Q299+1,0)</f>
        <v>6880</v>
      </c>
      <c r="U299">
        <f ca="1">OFFSET(Ground!$A$2,Volume!Q299+1,1)</f>
        <v>620.374762</v>
      </c>
      <c r="V299" s="26"/>
      <c r="W299">
        <f t="shared" si="72"/>
        <v>-34.124807924392485</v>
      </c>
      <c r="X299">
        <f>IF(Volume!W299&lt;'Temp Calcs'!$E$8,1,0)</f>
        <v>1</v>
      </c>
      <c r="Z299">
        <f t="shared" si="73"/>
        <v>33.57217199800656</v>
      </c>
      <c r="AA299">
        <f>IF(Volume!Z299&gt;'Temp Calcs'!$L$8,1,0)</f>
        <v>1</v>
      </c>
      <c r="AB299" s="8"/>
      <c r="AC299" s="7"/>
    </row>
    <row r="300" spans="1:29" ht="12.75">
      <c r="A300" s="1">
        <v>299</v>
      </c>
      <c r="C300" s="7">
        <f t="shared" si="71"/>
        <v>6880</v>
      </c>
      <c r="D300" s="8">
        <f t="shared" si="69"/>
        <v>621.3968495404915</v>
      </c>
      <c r="E300" s="7">
        <f t="shared" si="74"/>
        <v>0.6791842605599139</v>
      </c>
      <c r="F300" s="7"/>
      <c r="G300">
        <f t="shared" si="75"/>
        <v>620.374762</v>
      </c>
      <c r="H300" s="8">
        <f t="shared" si="76"/>
        <v>1.0220875404914977</v>
      </c>
      <c r="I300" s="30">
        <f>IF(H300&lt;1,(Data!$G$16+14+0.8*Data!$G$17+Data!$G$18*(1-H300))*(1-H300),(Data!$G$16+6+Data!$G$17*(H300-0.6))*(H300-0.6))</f>
        <v>7.466032215216612</v>
      </c>
      <c r="J300" s="28">
        <f t="shared" si="80"/>
        <v>22.80062080430715</v>
      </c>
      <c r="K300" t="str">
        <f t="shared" si="77"/>
        <v>Fill</v>
      </c>
      <c r="L300" s="28">
        <f t="shared" si="78"/>
        <v>0</v>
      </c>
      <c r="M300" s="28">
        <f t="shared" si="79"/>
        <v>22.80062080430715</v>
      </c>
      <c r="N300" s="28">
        <f>SUM($L$3:L300)</f>
        <v>76858.11555450852</v>
      </c>
      <c r="O300" s="28">
        <f>SUM($M$3:M300)</f>
        <v>76604.46189936045</v>
      </c>
      <c r="Q300">
        <f>MATCH(C300,Ground!$A$3:$A$1999,1)</f>
        <v>97</v>
      </c>
      <c r="R300">
        <f ca="1">OFFSET(Ground!$A$2,Volume!Q300,0)</f>
        <v>6880</v>
      </c>
      <c r="S300">
        <f ca="1">OFFSET(Ground!$A$2,Volume!Q300,1)</f>
        <v>620.374762</v>
      </c>
      <c r="T300">
        <f ca="1">OFFSET(Ground!$A$2,Volume!Q300+1,0)</f>
        <v>6910</v>
      </c>
      <c r="U300">
        <f ca="1">OFFSET(Ground!$A$2,Volume!Q300+1,1)</f>
        <v>620.500528</v>
      </c>
      <c r="V300" s="26"/>
      <c r="W300">
        <f t="shared" si="72"/>
        <v>-34.33355544467875</v>
      </c>
      <c r="X300">
        <f>IF(Volume!W300&lt;'Temp Calcs'!$E$8,1,0)</f>
        <v>1</v>
      </c>
      <c r="Z300">
        <f t="shared" si="73"/>
        <v>33.782005001786416</v>
      </c>
      <c r="AA300">
        <f>IF(Volume!Z300&gt;'Temp Calcs'!$L$8,1,0)</f>
        <v>1</v>
      </c>
      <c r="AB300" s="8"/>
      <c r="AC300" s="7"/>
    </row>
    <row r="301" spans="1:29" ht="12.75">
      <c r="A301" s="1">
        <v>300</v>
      </c>
      <c r="C301" s="7">
        <f t="shared" si="71"/>
        <v>6886</v>
      </c>
      <c r="D301" s="8">
        <f t="shared" si="69"/>
        <v>621.435617005093</v>
      </c>
      <c r="E301" s="7">
        <f t="shared" si="74"/>
        <v>0.6130645594900965</v>
      </c>
      <c r="F301" s="7"/>
      <c r="G301">
        <f t="shared" si="75"/>
        <v>620.3999152</v>
      </c>
      <c r="H301" s="8">
        <f t="shared" si="76"/>
        <v>1.0357018050930265</v>
      </c>
      <c r="I301" s="30">
        <f>IF(H301&lt;1,(Data!$G$16+14+0.8*Data!$G$17+Data!$G$18*(1-H301))*(1-H301),(Data!$G$16+6+Data!$G$17*(H301-0.6))*(H301-0.6))</f>
        <v>7.730573133333711</v>
      </c>
      <c r="J301" s="28">
        <f t="shared" si="80"/>
        <v>45.58981604565097</v>
      </c>
      <c r="K301" t="str">
        <f t="shared" si="77"/>
        <v>Fill</v>
      </c>
      <c r="L301" s="28">
        <f t="shared" si="78"/>
        <v>0</v>
      </c>
      <c r="M301" s="28">
        <f t="shared" si="79"/>
        <v>45.58981604565097</v>
      </c>
      <c r="N301" s="28">
        <f>SUM($L$3:L301)</f>
        <v>76858.11555450852</v>
      </c>
      <c r="O301" s="28">
        <f>SUM($M$3:M301)</f>
        <v>76650.05171540611</v>
      </c>
      <c r="Q301">
        <f>MATCH(C301,Ground!$A$3:$A$1999,1)</f>
        <v>97</v>
      </c>
      <c r="R301">
        <f ca="1">OFFSET(Ground!$A$2,Volume!Q301,0)</f>
        <v>6880</v>
      </c>
      <c r="S301">
        <f ca="1">OFFSET(Ground!$A$2,Volume!Q301,1)</f>
        <v>620.374762</v>
      </c>
      <c r="T301">
        <f ca="1">OFFSET(Ground!$A$2,Volume!Q301+1,0)</f>
        <v>6910</v>
      </c>
      <c r="U301">
        <f ca="1">OFFSET(Ground!$A$2,Volume!Q301+1,1)</f>
        <v>620.500528</v>
      </c>
      <c r="V301" s="26"/>
      <c r="W301">
        <f t="shared" si="72"/>
        <v>-34.54777168382277</v>
      </c>
      <c r="X301">
        <f>IF(Volume!W301&lt;'Temp Calcs'!$E$8,1,0)</f>
        <v>1</v>
      </c>
      <c r="Z301">
        <f t="shared" si="73"/>
        <v>33.99720227359704</v>
      </c>
      <c r="AA301">
        <f>IF(Volume!Z301&gt;'Temp Calcs'!$L$8,1,0)</f>
        <v>1</v>
      </c>
      <c r="AB301" s="8"/>
      <c r="AC301" s="7"/>
    </row>
    <row r="302" spans="1:29" ht="12.75">
      <c r="A302" s="1">
        <v>301</v>
      </c>
      <c r="B302" s="1" t="s">
        <v>18</v>
      </c>
      <c r="C302" s="5">
        <f>Data!C6+Data!F6/2</f>
        <v>6892</v>
      </c>
      <c r="D302" s="6">
        <f>Data!D6+Data!E6/100*Data!F6/2</f>
        <v>621.4704172876304</v>
      </c>
      <c r="E302" s="5">
        <f>Data!E6</f>
        <v>0.5469448584202791</v>
      </c>
      <c r="F302" s="5"/>
      <c r="G302">
        <f>S302+(U302-S302)*(C302-R302)/(T302-R302)</f>
        <v>620.4250684</v>
      </c>
      <c r="H302" s="8">
        <f>D302-G302</f>
        <v>1.045348887630439</v>
      </c>
      <c r="I302" s="30">
        <f>IF(H302&lt;1,(Data!$G$16+14+0.8*Data!$G$17+Data!$G$18*(1-H302))*(1-H302),(Data!$G$16+6+Data!$G$17*(H302-0.6))*(H302-0.6))</f>
        <v>7.918924728941704</v>
      </c>
      <c r="J302" s="28">
        <f t="shared" si="80"/>
        <v>46.948493586826245</v>
      </c>
      <c r="K302" t="str">
        <f>IF(H302&lt;0.5,"Cut","Fill")</f>
        <v>Fill</v>
      </c>
      <c r="L302" s="28">
        <f>IF(K302="Cut",J302,0)</f>
        <v>0</v>
      </c>
      <c r="M302" s="28">
        <f>IF(K302="Fill",J302,0)</f>
        <v>46.948493586826245</v>
      </c>
      <c r="N302" s="28">
        <f>SUM($L$3:L302)</f>
        <v>76858.11555450852</v>
      </c>
      <c r="O302" s="28">
        <f>SUM($M$3:M302)</f>
        <v>76697.00020899293</v>
      </c>
      <c r="Q302">
        <f>MATCH(C302,Ground!$A$3:$A$1999,1)</f>
        <v>97</v>
      </c>
      <c r="R302">
        <f ca="1">OFFSET(Ground!$A$2,Volume!Q302,0)</f>
        <v>6880</v>
      </c>
      <c r="S302">
        <f ca="1">OFFSET(Ground!$A$2,Volume!Q302,1)</f>
        <v>620.374762</v>
      </c>
      <c r="T302">
        <f ca="1">OFFSET(Ground!$A$2,Volume!Q302+1,0)</f>
        <v>6910</v>
      </c>
      <c r="U302">
        <f ca="1">OFFSET(Ground!$A$2,Volume!Q302+1,1)</f>
        <v>620.500528</v>
      </c>
      <c r="V302" s="26"/>
      <c r="W302">
        <f t="shared" si="72"/>
        <v>-34.767544293807845</v>
      </c>
      <c r="X302">
        <f>IF(Volume!W302&lt;'Temp Calcs'!$E$8,1,0)</f>
        <v>1</v>
      </c>
      <c r="Z302">
        <f t="shared" si="73"/>
        <v>34.21785255672871</v>
      </c>
      <c r="AA302">
        <f>IF(Volume!Z302&gt;'Temp Calcs'!$L$8,1,0)</f>
        <v>1</v>
      </c>
      <c r="AB302" s="6"/>
      <c r="AC302" s="5"/>
    </row>
    <row r="303" spans="1:29" ht="12.75">
      <c r="A303" s="1">
        <v>302</v>
      </c>
      <c r="B303" s="1"/>
      <c r="C303" s="31">
        <f>C302+($C$352-$C$302)/50</f>
        <v>6900.17</v>
      </c>
      <c r="D303" s="8">
        <f>$D$302+($D$352-$D$302)*(C303-$C$302)/($C$352-$C$302)</f>
        <v>621.5151026825633</v>
      </c>
      <c r="E303" s="7">
        <f>$E$302</f>
        <v>0.5469448584202791</v>
      </c>
      <c r="F303" s="5"/>
      <c r="G303">
        <f aca="true" t="shared" si="81" ref="G303:G351">S303+(U303-S303)*(C303-R303)/(T303-R303)</f>
        <v>620.4593186740001</v>
      </c>
      <c r="H303" s="8">
        <f aca="true" t="shared" si="82" ref="H303:H351">D303-G303</f>
        <v>1.0557840085632506</v>
      </c>
      <c r="I303" s="30">
        <f>IF(H303&lt;1,(Data!$G$16+14+0.8*Data!$G$17+Data!$G$18*(1-H303))*(1-H303),(Data!$G$16+6+Data!$G$17*(H303-0.6))*(H303-0.6))</f>
        <v>8.123500386859952</v>
      </c>
      <c r="J303" s="28">
        <f t="shared" si="80"/>
        <v>65.53330659805034</v>
      </c>
      <c r="K303" t="str">
        <f aca="true" t="shared" si="83" ref="K303:K351">IF(H303&lt;0.5,"Cut","Fill")</f>
        <v>Fill</v>
      </c>
      <c r="L303" s="28">
        <f aca="true" t="shared" si="84" ref="L303:L351">IF(K303="Cut",J303,0)</f>
        <v>0</v>
      </c>
      <c r="M303" s="28">
        <f aca="true" t="shared" si="85" ref="M303:M351">IF(K303="Fill",J303,0)</f>
        <v>65.53330659805034</v>
      </c>
      <c r="N303" s="28">
        <f>SUM($L$3:L303)</f>
        <v>76858.11555450852</v>
      </c>
      <c r="O303" s="28">
        <f>SUM($M$3:M303)</f>
        <v>76762.53351559099</v>
      </c>
      <c r="Q303">
        <f>MATCH(C303,Ground!$A$3:$A$1999,1)</f>
        <v>97</v>
      </c>
      <c r="R303">
        <f ca="1">OFFSET(Ground!$A$2,Volume!Q303,0)</f>
        <v>6880</v>
      </c>
      <c r="S303">
        <f ca="1">OFFSET(Ground!$A$2,Volume!Q303,1)</f>
        <v>620.374762</v>
      </c>
      <c r="T303">
        <f ca="1">OFFSET(Ground!$A$2,Volume!Q303+1,0)</f>
        <v>6910</v>
      </c>
      <c r="U303">
        <f ca="1">OFFSET(Ground!$A$2,Volume!Q303+1,1)</f>
        <v>620.500528</v>
      </c>
      <c r="V303" s="26"/>
      <c r="W303">
        <f t="shared" si="72"/>
        <v>-35.0700068078539</v>
      </c>
      <c r="X303">
        <f>IF(Volume!W303&lt;'Temp Calcs'!$E$8,1,0)</f>
        <v>1</v>
      </c>
      <c r="Z303">
        <f t="shared" si="73"/>
        <v>34.5214379542976</v>
      </c>
      <c r="AA303">
        <f>IF(Volume!Z303&gt;'Temp Calcs'!$L$8,1,0)</f>
        <v>1</v>
      </c>
      <c r="AB303" s="6"/>
      <c r="AC303" s="5"/>
    </row>
    <row r="304" spans="1:29" ht="12.75">
      <c r="A304" s="1">
        <v>303</v>
      </c>
      <c r="B304" s="1"/>
      <c r="C304" s="31">
        <f aca="true" t="shared" si="86" ref="C304:C351">C303+($C$352-$C$302)/50</f>
        <v>6908.34</v>
      </c>
      <c r="D304" s="8">
        <f aca="true" t="shared" si="87" ref="D304:D351">$D$302+($D$352-$D$302)*(C304-$C$302)/($C$352-$C$302)</f>
        <v>621.5597880774963</v>
      </c>
      <c r="E304" s="7">
        <f aca="true" t="shared" si="88" ref="E304:E351">$E$302</f>
        <v>0.5469448584202791</v>
      </c>
      <c r="F304" s="5"/>
      <c r="G304">
        <f t="shared" si="81"/>
        <v>620.4935689480001</v>
      </c>
      <c r="H304" s="8">
        <f t="shared" si="82"/>
        <v>1.0662191294961758</v>
      </c>
      <c r="I304" s="30">
        <f>IF(H304&lt;1,(Data!$G$16+14+0.8*Data!$G$17+Data!$G$18*(1-H304))*(1-H304),(Data!$G$16+6+Data!$G$17*(H304-0.6))*(H304-0.6))</f>
        <v>8.328947178771502</v>
      </c>
      <c r="J304" s="28">
        <f t="shared" si="80"/>
        <v>67.20824830560508</v>
      </c>
      <c r="K304" t="str">
        <f t="shared" si="83"/>
        <v>Fill</v>
      </c>
      <c r="L304" s="28">
        <f t="shared" si="84"/>
        <v>0</v>
      </c>
      <c r="M304" s="28">
        <f t="shared" si="85"/>
        <v>67.20824830560508</v>
      </c>
      <c r="N304" s="28">
        <f>SUM($L$3:L304)</f>
        <v>76858.11555450852</v>
      </c>
      <c r="O304" s="28">
        <f>SUM($M$3:M304)</f>
        <v>76829.74176389659</v>
      </c>
      <c r="Q304">
        <f>MATCH(C304,Ground!$A$3:$A$1999,1)</f>
        <v>97</v>
      </c>
      <c r="R304">
        <f ca="1">OFFSET(Ground!$A$2,Volume!Q304,0)</f>
        <v>6880</v>
      </c>
      <c r="S304">
        <f ca="1">OFFSET(Ground!$A$2,Volume!Q304,1)</f>
        <v>620.374762</v>
      </c>
      <c r="T304">
        <f ca="1">OFFSET(Ground!$A$2,Volume!Q304+1,0)</f>
        <v>6910</v>
      </c>
      <c r="U304">
        <f ca="1">OFFSET(Ground!$A$2,Volume!Q304+1,1)</f>
        <v>620.500528</v>
      </c>
      <c r="V304" s="26"/>
      <c r="W304">
        <f t="shared" si="72"/>
        <v>-35.37123612960405</v>
      </c>
      <c r="X304">
        <f>IF(Volume!W304&lt;'Temp Calcs'!$E$8,1,0)</f>
        <v>1</v>
      </c>
      <c r="Z304">
        <f t="shared" si="73"/>
        <v>34.8237855813791</v>
      </c>
      <c r="AA304">
        <f>IF(Volume!Z304&gt;'Temp Calcs'!$L$8,1,0)</f>
        <v>1</v>
      </c>
      <c r="AB304" s="6"/>
      <c r="AC304" s="5"/>
    </row>
    <row r="305" spans="1:29" ht="12.75">
      <c r="A305" s="1">
        <v>304</v>
      </c>
      <c r="B305" s="1"/>
      <c r="C305" s="31">
        <f t="shared" si="86"/>
        <v>6916.51</v>
      </c>
      <c r="D305" s="8">
        <f t="shared" si="87"/>
        <v>621.6044734724293</v>
      </c>
      <c r="E305" s="7">
        <f t="shared" si="88"/>
        <v>0.5469448584202791</v>
      </c>
      <c r="F305" s="5"/>
      <c r="G305">
        <f t="shared" si="81"/>
        <v>620.526963808</v>
      </c>
      <c r="H305" s="8">
        <f t="shared" si="82"/>
        <v>1.0775096644292717</v>
      </c>
      <c r="I305" s="30">
        <f>IF(H305&lt;1,(Data!$G$16+14+0.8*Data!$G$17+Data!$G$18*(1-H305))*(1-H305),(Data!$G$16+6+Data!$G$17*(H305-0.6))*(H305-0.6))</f>
        <v>8.55221654936177</v>
      </c>
      <c r="J305" s="28">
        <f t="shared" si="80"/>
        <v>68.95955382942503</v>
      </c>
      <c r="K305" t="str">
        <f t="shared" si="83"/>
        <v>Fill</v>
      </c>
      <c r="L305" s="28">
        <f t="shared" si="84"/>
        <v>0</v>
      </c>
      <c r="M305" s="28">
        <f t="shared" si="85"/>
        <v>68.95955382942503</v>
      </c>
      <c r="N305" s="28">
        <f>SUM($L$3:L305)</f>
        <v>76858.11555450852</v>
      </c>
      <c r="O305" s="28">
        <f>SUM($M$3:M305)</f>
        <v>76898.70131772601</v>
      </c>
      <c r="Q305">
        <f>MATCH(C305,Ground!$A$3:$A$1999,1)</f>
        <v>98</v>
      </c>
      <c r="R305">
        <f ca="1">OFFSET(Ground!$A$2,Volume!Q305,0)</f>
        <v>6910</v>
      </c>
      <c r="S305">
        <f ca="1">OFFSET(Ground!$A$2,Volume!Q305,1)</f>
        <v>620.500528</v>
      </c>
      <c r="T305">
        <f ca="1">OFFSET(Ground!$A$2,Volume!Q305+1,0)</f>
        <v>6940</v>
      </c>
      <c r="U305">
        <f ca="1">OFFSET(Ground!$A$2,Volume!Q305+1,1)</f>
        <v>620.622352</v>
      </c>
      <c r="V305" s="26"/>
      <c r="W305">
        <f t="shared" si="72"/>
        <v>-35.67123978562388</v>
      </c>
      <c r="X305">
        <f>IF(Volume!W305&lt;'Temp Calcs'!$E$8,1,0)</f>
        <v>1</v>
      </c>
      <c r="Z305">
        <f t="shared" si="73"/>
        <v>35.12490299248095</v>
      </c>
      <c r="AA305">
        <f>IF(Volume!Z305&gt;'Temp Calcs'!$L$8,1,0)</f>
        <v>1</v>
      </c>
      <c r="AB305" s="6"/>
      <c r="AC305" s="5"/>
    </row>
    <row r="306" spans="1:29" ht="12.75">
      <c r="A306" s="1">
        <v>305</v>
      </c>
      <c r="B306" s="1"/>
      <c r="C306" s="31">
        <f t="shared" si="86"/>
        <v>6924.68</v>
      </c>
      <c r="D306" s="8">
        <f t="shared" si="87"/>
        <v>621.6491588673622</v>
      </c>
      <c r="E306" s="7">
        <f t="shared" si="88"/>
        <v>0.5469448584202791</v>
      </c>
      <c r="F306" s="5"/>
      <c r="G306">
        <f t="shared" si="81"/>
        <v>620.560140544</v>
      </c>
      <c r="H306" s="8">
        <f t="shared" si="82"/>
        <v>1.089018323362211</v>
      </c>
      <c r="I306" s="30">
        <f>IF(H306&lt;1,(Data!$G$16+14+0.8*Data!$G$17+Data!$G$18*(1-H306))*(1-H306),(Data!$G$16+6+Data!$G$17*(H306-0.6))*(H306-0.6))</f>
        <v>8.78084885613133</v>
      </c>
      <c r="J306" s="28">
        <f t="shared" si="80"/>
        <v>70.80557218143996</v>
      </c>
      <c r="K306" t="str">
        <f t="shared" si="83"/>
        <v>Fill</v>
      </c>
      <c r="L306" s="28">
        <f t="shared" si="84"/>
        <v>0</v>
      </c>
      <c r="M306" s="28">
        <f t="shared" si="85"/>
        <v>70.80557218143996</v>
      </c>
      <c r="N306" s="28">
        <f>SUM($L$3:L306)</f>
        <v>76858.11555450852</v>
      </c>
      <c r="O306" s="28">
        <f>SUM($M$3:M306)</f>
        <v>76969.50688990745</v>
      </c>
      <c r="Q306">
        <f>MATCH(C306,Ground!$A$3:$A$1999,1)</f>
        <v>98</v>
      </c>
      <c r="R306">
        <f ca="1">OFFSET(Ground!$A$2,Volume!Q306,0)</f>
        <v>6910</v>
      </c>
      <c r="S306">
        <f ca="1">OFFSET(Ground!$A$2,Volume!Q306,1)</f>
        <v>620.500528</v>
      </c>
      <c r="T306">
        <f ca="1">OFFSET(Ground!$A$2,Volume!Q306+1,0)</f>
        <v>6940</v>
      </c>
      <c r="U306">
        <f ca="1">OFFSET(Ground!$A$2,Volume!Q306+1,1)</f>
        <v>620.622352</v>
      </c>
      <c r="V306" s="26"/>
      <c r="W306">
        <f t="shared" si="72"/>
        <v>-35.97002524135452</v>
      </c>
      <c r="X306">
        <f>IF(Volume!W306&lt;'Temp Calcs'!$E$8,1,0)</f>
        <v>1</v>
      </c>
      <c r="Z306">
        <f t="shared" si="73"/>
        <v>35.424797680759504</v>
      </c>
      <c r="AA306">
        <f>IF(Volume!Z306&gt;'Temp Calcs'!$L$8,1,0)</f>
        <v>1</v>
      </c>
      <c r="AB306" s="6"/>
      <c r="AC306" s="5"/>
    </row>
    <row r="307" spans="1:29" ht="12.75">
      <c r="A307" s="1">
        <v>306</v>
      </c>
      <c r="B307" s="1"/>
      <c r="C307" s="31">
        <f t="shared" si="86"/>
        <v>6932.85</v>
      </c>
      <c r="D307" s="8">
        <f t="shared" si="87"/>
        <v>621.6938442622951</v>
      </c>
      <c r="E307" s="7">
        <f t="shared" si="88"/>
        <v>0.5469448584202791</v>
      </c>
      <c r="F307" s="5"/>
      <c r="G307">
        <f t="shared" si="81"/>
        <v>620.59331728</v>
      </c>
      <c r="H307" s="8">
        <f t="shared" si="82"/>
        <v>1.1005269822951504</v>
      </c>
      <c r="I307" s="30">
        <f>IF(H307&lt;1,(Data!$G$16+14+0.8*Data!$G$17+Data!$G$18*(1-H307))*(1-H307),(Data!$G$16+6+Data!$G$17*(H307-0.6))*(H307-0.6))</f>
        <v>9.010540756744367</v>
      </c>
      <c r="J307" s="28">
        <f t="shared" si="80"/>
        <v>72.67782656859787</v>
      </c>
      <c r="K307" t="str">
        <f t="shared" si="83"/>
        <v>Fill</v>
      </c>
      <c r="L307" s="28">
        <f t="shared" si="84"/>
        <v>0</v>
      </c>
      <c r="M307" s="28">
        <f t="shared" si="85"/>
        <v>72.67782656859787</v>
      </c>
      <c r="N307" s="28">
        <f>SUM($L$3:L307)</f>
        <v>76858.11555450852</v>
      </c>
      <c r="O307" s="28">
        <f>SUM($M$3:M307)</f>
        <v>77042.18471647605</v>
      </c>
      <c r="Q307">
        <f>MATCH(C307,Ground!$A$3:$A$1999,1)</f>
        <v>98</v>
      </c>
      <c r="R307">
        <f ca="1">OFFSET(Ground!$A$2,Volume!Q307,0)</f>
        <v>6910</v>
      </c>
      <c r="S307">
        <f ca="1">OFFSET(Ground!$A$2,Volume!Q307,1)</f>
        <v>620.500528</v>
      </c>
      <c r="T307">
        <f ca="1">OFFSET(Ground!$A$2,Volume!Q307+1,0)</f>
        <v>6940</v>
      </c>
      <c r="U307">
        <f ca="1">OFFSET(Ground!$A$2,Volume!Q307+1,1)</f>
        <v>620.622352</v>
      </c>
      <c r="V307" s="26"/>
      <c r="W307">
        <f t="shared" si="72"/>
        <v>-36.267599901730776</v>
      </c>
      <c r="X307">
        <f>IF(Volume!W307&lt;'Temp Calcs'!$E$8,1,0)</f>
        <v>1</v>
      </c>
      <c r="Z307">
        <f t="shared" si="73"/>
        <v>35.723477078640194</v>
      </c>
      <c r="AA307">
        <f>IF(Volume!Z307&gt;'Temp Calcs'!$L$8,1,0)</f>
        <v>1</v>
      </c>
      <c r="AB307" s="6"/>
      <c r="AC307" s="5"/>
    </row>
    <row r="308" spans="1:29" ht="12.75">
      <c r="A308" s="1">
        <v>307</v>
      </c>
      <c r="B308" s="1"/>
      <c r="C308" s="31">
        <f t="shared" si="86"/>
        <v>6941.02</v>
      </c>
      <c r="D308" s="8">
        <f t="shared" si="87"/>
        <v>621.738529657228</v>
      </c>
      <c r="E308" s="7">
        <f t="shared" si="88"/>
        <v>0.5469448584202791</v>
      </c>
      <c r="F308" s="5"/>
      <c r="G308">
        <f t="shared" si="81"/>
        <v>620.624784836</v>
      </c>
      <c r="H308" s="8">
        <f t="shared" si="82"/>
        <v>1.1137448212280106</v>
      </c>
      <c r="I308" s="30">
        <f>IF(H308&lt;1,(Data!$G$16+14+0.8*Data!$G$17+Data!$G$18*(1-H308))*(1-H308),(Data!$G$16+6+Data!$G$17*(H308-0.6))*(H308-0.6))</f>
        <v>9.275652105002573</v>
      </c>
      <c r="J308" s="28">
        <f t="shared" si="80"/>
        <v>74.69909784023692</v>
      </c>
      <c r="K308" t="str">
        <f t="shared" si="83"/>
        <v>Fill</v>
      </c>
      <c r="L308" s="28">
        <f t="shared" si="84"/>
        <v>0</v>
      </c>
      <c r="M308" s="28">
        <f t="shared" si="85"/>
        <v>74.69909784023692</v>
      </c>
      <c r="N308" s="28">
        <f>SUM($L$3:L308)</f>
        <v>76858.11555450852</v>
      </c>
      <c r="O308" s="28">
        <f>SUM($M$3:M308)</f>
        <v>77116.88381431629</v>
      </c>
      <c r="Q308">
        <f>MATCH(C308,Ground!$A$3:$A$1999,1)</f>
        <v>99</v>
      </c>
      <c r="R308">
        <f ca="1">OFFSET(Ground!$A$2,Volume!Q308,0)</f>
        <v>6940</v>
      </c>
      <c r="S308">
        <f ca="1">OFFSET(Ground!$A$2,Volume!Q308,1)</f>
        <v>620.622352</v>
      </c>
      <c r="T308">
        <f ca="1">OFFSET(Ground!$A$2,Volume!Q308+1,0)</f>
        <v>6970</v>
      </c>
      <c r="U308">
        <f ca="1">OFFSET(Ground!$A$2,Volume!Q308+1,1)</f>
        <v>620.693906</v>
      </c>
      <c r="V308" s="26"/>
      <c r="W308">
        <f t="shared" si="72"/>
        <v>-36.56397111179362</v>
      </c>
      <c r="X308">
        <f>IF(Volume!W308&lt;'Temp Calcs'!$E$8,1,0)</f>
        <v>1</v>
      </c>
      <c r="Z308">
        <f t="shared" si="73"/>
        <v>36.02094855843225</v>
      </c>
      <c r="AA308">
        <f>IF(Volume!Z308&gt;'Temp Calcs'!$L$8,1,0)</f>
        <v>1</v>
      </c>
      <c r="AB308" s="6"/>
      <c r="AC308" s="5"/>
    </row>
    <row r="309" spans="1:29" ht="12.75">
      <c r="A309" s="1">
        <v>308</v>
      </c>
      <c r="B309" s="1"/>
      <c r="C309" s="31">
        <f t="shared" si="86"/>
        <v>6949.1900000000005</v>
      </c>
      <c r="D309" s="8">
        <f t="shared" si="87"/>
        <v>621.7832150521609</v>
      </c>
      <c r="E309" s="7">
        <f t="shared" si="88"/>
        <v>0.5469448584202791</v>
      </c>
      <c r="F309" s="5"/>
      <c r="G309">
        <f t="shared" si="81"/>
        <v>620.6442713753333</v>
      </c>
      <c r="H309" s="8">
        <f t="shared" si="82"/>
        <v>1.13894367682758</v>
      </c>
      <c r="I309" s="30">
        <f>IF(H309&lt;1,(Data!$G$16+14+0.8*Data!$G$17+Data!$G$18*(1-H309))*(1-H309),(Data!$G$16+6+Data!$G$17*(H309-0.6))*(H309-0.6))</f>
        <v>9.784939976411005</v>
      </c>
      <c r="J309" s="28">
        <f t="shared" si="80"/>
        <v>77.86251865257516</v>
      </c>
      <c r="K309" t="str">
        <f t="shared" si="83"/>
        <v>Fill</v>
      </c>
      <c r="L309" s="28">
        <f t="shared" si="84"/>
        <v>0</v>
      </c>
      <c r="M309" s="28">
        <f t="shared" si="85"/>
        <v>77.86251865257516</v>
      </c>
      <c r="N309" s="28">
        <f>SUM($L$3:L309)</f>
        <v>76858.11555450852</v>
      </c>
      <c r="O309" s="28">
        <f>SUM($M$3:M309)</f>
        <v>77194.74633296886</v>
      </c>
      <c r="Q309">
        <f>MATCH(C309,Ground!$A$3:$A$1999,1)</f>
        <v>99</v>
      </c>
      <c r="R309">
        <f ca="1">OFFSET(Ground!$A$2,Volume!Q309,0)</f>
        <v>6940</v>
      </c>
      <c r="S309">
        <f ca="1">OFFSET(Ground!$A$2,Volume!Q309,1)</f>
        <v>620.622352</v>
      </c>
      <c r="T309">
        <f ca="1">OFFSET(Ground!$A$2,Volume!Q309+1,0)</f>
        <v>6970</v>
      </c>
      <c r="U309">
        <f ca="1">OFFSET(Ground!$A$2,Volume!Q309+1,1)</f>
        <v>620.693906</v>
      </c>
      <c r="V309" s="26"/>
      <c r="W309">
        <f t="shared" si="72"/>
        <v>-36.85914615729435</v>
      </c>
      <c r="X309">
        <f>IF(Volume!W309&lt;'Temp Calcs'!$E$8,1,0)</f>
        <v>1</v>
      </c>
      <c r="Z309">
        <f t="shared" si="73"/>
        <v>36.3172194329351</v>
      </c>
      <c r="AA309">
        <f>IF(Volume!Z309&gt;'Temp Calcs'!$L$8,1,0)</f>
        <v>1</v>
      </c>
      <c r="AB309" s="6"/>
      <c r="AC309" s="5"/>
    </row>
    <row r="310" spans="1:29" ht="12.75">
      <c r="A310" s="1">
        <v>309</v>
      </c>
      <c r="B310" s="1"/>
      <c r="C310" s="31">
        <f t="shared" si="86"/>
        <v>6957.360000000001</v>
      </c>
      <c r="D310" s="8">
        <f t="shared" si="87"/>
        <v>621.827900447094</v>
      </c>
      <c r="E310" s="7">
        <f t="shared" si="88"/>
        <v>0.5469448584202791</v>
      </c>
      <c r="F310" s="5"/>
      <c r="G310">
        <f t="shared" si="81"/>
        <v>620.6637579146667</v>
      </c>
      <c r="H310" s="8">
        <f t="shared" si="82"/>
        <v>1.1641425324272632</v>
      </c>
      <c r="I310" s="30">
        <f>IF(H310&lt;1,(Data!$G$16+14+0.8*Data!$G$17+Data!$G$18*(1-H310))*(1-H310),(Data!$G$16+6+Data!$G$17*(H310-0.6))*(H310-0.6))</f>
        <v>10.299307706409994</v>
      </c>
      <c r="J310" s="28">
        <f t="shared" si="80"/>
        <v>82.04415178432453</v>
      </c>
      <c r="K310" t="str">
        <f t="shared" si="83"/>
        <v>Fill</v>
      </c>
      <c r="L310" s="28">
        <f t="shared" si="84"/>
        <v>0</v>
      </c>
      <c r="M310" s="28">
        <f t="shared" si="85"/>
        <v>82.04415178432453</v>
      </c>
      <c r="N310" s="28">
        <f>SUM($L$3:L310)</f>
        <v>76858.11555450852</v>
      </c>
      <c r="O310" s="28">
        <f>SUM($M$3:M310)</f>
        <v>77276.79048475319</v>
      </c>
      <c r="Q310">
        <f>MATCH(C310,Ground!$A$3:$A$1999,1)</f>
        <v>99</v>
      </c>
      <c r="R310">
        <f ca="1">OFFSET(Ground!$A$2,Volume!Q310,0)</f>
        <v>6940</v>
      </c>
      <c r="S310">
        <f ca="1">OFFSET(Ground!$A$2,Volume!Q310,1)</f>
        <v>620.622352</v>
      </c>
      <c r="T310">
        <f ca="1">OFFSET(Ground!$A$2,Volume!Q310+1,0)</f>
        <v>6970</v>
      </c>
      <c r="U310">
        <f ca="1">OFFSET(Ground!$A$2,Volume!Q310+1,1)</f>
        <v>620.693906</v>
      </c>
      <c r="V310" s="26"/>
      <c r="W310">
        <f t="shared" si="72"/>
        <v>-37.153132265291404</v>
      </c>
      <c r="X310">
        <f>IF(Volume!W310&lt;'Temp Calcs'!$E$8,1,0)</f>
        <v>1</v>
      </c>
      <c r="Z310">
        <f t="shared" si="73"/>
        <v>36.61229695603745</v>
      </c>
      <c r="AA310">
        <f>IF(Volume!Z310&gt;'Temp Calcs'!$L$8,1,0)</f>
        <v>1</v>
      </c>
      <c r="AB310" s="6"/>
      <c r="AC310" s="5"/>
    </row>
    <row r="311" spans="1:29" ht="12.75">
      <c r="A311" s="1">
        <v>310</v>
      </c>
      <c r="B311" s="1"/>
      <c r="C311" s="31">
        <f t="shared" si="86"/>
        <v>6965.530000000001</v>
      </c>
      <c r="D311" s="8">
        <f t="shared" si="87"/>
        <v>621.8725858420269</v>
      </c>
      <c r="E311" s="7">
        <f t="shared" si="88"/>
        <v>0.5469448584202791</v>
      </c>
      <c r="F311" s="5"/>
      <c r="G311">
        <f t="shared" si="81"/>
        <v>620.6832444539999</v>
      </c>
      <c r="H311" s="8">
        <f t="shared" si="82"/>
        <v>1.1893413880269463</v>
      </c>
      <c r="I311" s="30">
        <f>IF(H311&lt;1,(Data!$G$16+14+0.8*Data!$G$17+Data!$G$18*(1-H311))*(1-H311),(Data!$G$16+6+Data!$G$17*(H311-0.6))*(H311-0.6))</f>
        <v>10.818755294997253</v>
      </c>
      <c r="J311" s="28">
        <f t="shared" si="80"/>
        <v>86.26728736074938</v>
      </c>
      <c r="K311" t="str">
        <f t="shared" si="83"/>
        <v>Fill</v>
      </c>
      <c r="L311" s="28">
        <f t="shared" si="84"/>
        <v>0</v>
      </c>
      <c r="M311" s="28">
        <f t="shared" si="85"/>
        <v>86.26728736074938</v>
      </c>
      <c r="N311" s="28">
        <f>SUM($L$3:L311)</f>
        <v>76858.11555450852</v>
      </c>
      <c r="O311" s="28">
        <f>SUM($M$3:M311)</f>
        <v>77363.05777211394</v>
      </c>
      <c r="Q311">
        <f>MATCH(C311,Ground!$A$3:$A$1999,1)</f>
        <v>99</v>
      </c>
      <c r="R311">
        <f ca="1">OFFSET(Ground!$A$2,Volume!Q311,0)</f>
        <v>6940</v>
      </c>
      <c r="S311">
        <f ca="1">OFFSET(Ground!$A$2,Volume!Q311,1)</f>
        <v>620.622352</v>
      </c>
      <c r="T311">
        <f ca="1">OFFSET(Ground!$A$2,Volume!Q311+1,0)</f>
        <v>6970</v>
      </c>
      <c r="U311">
        <f ca="1">OFFSET(Ground!$A$2,Volume!Q311+1,1)</f>
        <v>620.693906</v>
      </c>
      <c r="V311" s="26"/>
      <c r="W311">
        <f t="shared" si="72"/>
        <v>-37.445936604740986</v>
      </c>
      <c r="X311">
        <f>IF(Volume!W311&lt;'Temp Calcs'!$E$8,1,0)</f>
        <v>1</v>
      </c>
      <c r="Z311">
        <f t="shared" si="73"/>
        <v>36.90618832331004</v>
      </c>
      <c r="AA311">
        <f>IF(Volume!Z311&gt;'Temp Calcs'!$L$8,1,0)</f>
        <v>1</v>
      </c>
      <c r="AB311" s="6"/>
      <c r="AC311" s="5"/>
    </row>
    <row r="312" spans="1:29" ht="12.75">
      <c r="A312" s="1">
        <v>311</v>
      </c>
      <c r="B312" s="1"/>
      <c r="C312" s="31">
        <f t="shared" si="86"/>
        <v>6973.700000000001</v>
      </c>
      <c r="D312" s="8">
        <f t="shared" si="87"/>
        <v>621.9172712369598</v>
      </c>
      <c r="E312" s="7">
        <f t="shared" si="88"/>
        <v>0.5469448584202791</v>
      </c>
      <c r="F312" s="5"/>
      <c r="G312">
        <f t="shared" si="81"/>
        <v>620.7083898966666</v>
      </c>
      <c r="H312" s="8">
        <f t="shared" si="82"/>
        <v>1.2088813402931464</v>
      </c>
      <c r="I312" s="30">
        <f>IF(H312&lt;1,(Data!$G$16+14+0.8*Data!$G$17+Data!$G$18*(1-H312))*(1-H312),(Data!$G$16+6+Data!$G$17*(H312-0.6))*(H312-0.6))</f>
        <v>11.225047390919057</v>
      </c>
      <c r="J312" s="28">
        <f t="shared" si="80"/>
        <v>90.04893397196894</v>
      </c>
      <c r="K312" t="str">
        <f t="shared" si="83"/>
        <v>Fill</v>
      </c>
      <c r="L312" s="28">
        <f t="shared" si="84"/>
        <v>0</v>
      </c>
      <c r="M312" s="28">
        <f t="shared" si="85"/>
        <v>90.04893397196894</v>
      </c>
      <c r="N312" s="28">
        <f>SUM($L$3:L312)</f>
        <v>76858.11555450852</v>
      </c>
      <c r="O312" s="28">
        <f>SUM($M$3:M312)</f>
        <v>77453.1067060859</v>
      </c>
      <c r="Q312">
        <f>MATCH(C312,Ground!$A$3:$A$1999,1)</f>
        <v>100</v>
      </c>
      <c r="R312">
        <f ca="1">OFFSET(Ground!$A$2,Volume!Q312,0)</f>
        <v>6970</v>
      </c>
      <c r="S312">
        <f ca="1">OFFSET(Ground!$A$2,Volume!Q312,1)</f>
        <v>620.693906</v>
      </c>
      <c r="T312">
        <f ca="1">OFFSET(Ground!$A$2,Volume!Q312+1,0)</f>
        <v>7000</v>
      </c>
      <c r="U312">
        <f ca="1">OFFSET(Ground!$A$2,Volume!Q312+1,1)</f>
        <v>620.811343</v>
      </c>
      <c r="V312" s="26"/>
      <c r="W312">
        <f t="shared" si="72"/>
        <v>-37.73756628707864</v>
      </c>
      <c r="X312">
        <f>IF(Volume!W312&lt;'Temp Calcs'!$E$8,1,0)</f>
        <v>1</v>
      </c>
      <c r="Z312">
        <f t="shared" si="73"/>
        <v>37.19890067258942</v>
      </c>
      <c r="AA312">
        <f>IF(Volume!Z312&gt;'Temp Calcs'!$L$8,1,0)</f>
        <v>1</v>
      </c>
      <c r="AB312" s="6"/>
      <c r="AC312" s="5"/>
    </row>
    <row r="313" spans="1:29" ht="12.75">
      <c r="A313" s="1">
        <v>312</v>
      </c>
      <c r="B313" s="1"/>
      <c r="C313" s="31">
        <f t="shared" si="86"/>
        <v>6981.870000000001</v>
      </c>
      <c r="D313" s="8">
        <f t="shared" si="87"/>
        <v>621.9619566318927</v>
      </c>
      <c r="E313" s="7">
        <f t="shared" si="88"/>
        <v>0.5469448584202791</v>
      </c>
      <c r="F313" s="5"/>
      <c r="G313">
        <f t="shared" si="81"/>
        <v>620.7403719063333</v>
      </c>
      <c r="H313" s="8">
        <f t="shared" si="82"/>
        <v>1.22158472555941</v>
      </c>
      <c r="I313" s="30">
        <f>IF(H313&lt;1,(Data!$G$16+14+0.8*Data!$G$17+Data!$G$18*(1-H313))*(1-H313),(Data!$G$16+6+Data!$G$17*(H313-0.6))*(H313-0.6))</f>
        <v>11.490825893145628</v>
      </c>
      <c r="J313" s="28">
        <f t="shared" si="80"/>
        <v>92.79434236540506</v>
      </c>
      <c r="K313" t="str">
        <f t="shared" si="83"/>
        <v>Fill</v>
      </c>
      <c r="L313" s="28">
        <f t="shared" si="84"/>
        <v>0</v>
      </c>
      <c r="M313" s="28">
        <f t="shared" si="85"/>
        <v>92.79434236540506</v>
      </c>
      <c r="N313" s="28">
        <f>SUM($L$3:L313)</f>
        <v>76858.11555450852</v>
      </c>
      <c r="O313" s="28">
        <f>SUM($M$3:M313)</f>
        <v>77545.90104845131</v>
      </c>
      <c r="Q313">
        <f>MATCH(C313,Ground!$A$3:$A$1999,1)</f>
        <v>100</v>
      </c>
      <c r="R313">
        <f ca="1">OFFSET(Ground!$A$2,Volume!Q313,0)</f>
        <v>6970</v>
      </c>
      <c r="S313">
        <f ca="1">OFFSET(Ground!$A$2,Volume!Q313,1)</f>
        <v>620.693906</v>
      </c>
      <c r="T313">
        <f ca="1">OFFSET(Ground!$A$2,Volume!Q313+1,0)</f>
        <v>7000</v>
      </c>
      <c r="U313">
        <f ca="1">OFFSET(Ground!$A$2,Volume!Q313+1,1)</f>
        <v>620.811343</v>
      </c>
      <c r="V313" s="26"/>
      <c r="W313">
        <f t="shared" si="72"/>
        <v>-38.028028366795766</v>
      </c>
      <c r="X313">
        <f>IF(Volume!W313&lt;'Temp Calcs'!$E$8,1,0)</f>
        <v>1</v>
      </c>
      <c r="Z313">
        <f t="shared" si="73"/>
        <v>37.490441084556586</v>
      </c>
      <c r="AA313">
        <f>IF(Volume!Z313&gt;'Temp Calcs'!$L$8,1,0)</f>
        <v>1</v>
      </c>
      <c r="AB313" s="6"/>
      <c r="AC313" s="5"/>
    </row>
    <row r="314" spans="1:29" ht="12.75">
      <c r="A314" s="1">
        <v>313</v>
      </c>
      <c r="B314" s="1"/>
      <c r="C314" s="31">
        <f t="shared" si="86"/>
        <v>6990.040000000001</v>
      </c>
      <c r="D314" s="8">
        <f t="shared" si="87"/>
        <v>622.0066420268256</v>
      </c>
      <c r="E314" s="7">
        <f t="shared" si="88"/>
        <v>0.5469448584202791</v>
      </c>
      <c r="F314" s="5"/>
      <c r="G314">
        <f t="shared" si="81"/>
        <v>620.7723539159999</v>
      </c>
      <c r="H314" s="8">
        <f t="shared" si="82"/>
        <v>1.2342881108256734</v>
      </c>
      <c r="I314" s="30">
        <f>IF(H314&lt;1,(Data!$G$16+14+0.8*Data!$G$17+Data!$G$18*(1-H314))*(1-H314),(Data!$G$16+6+Data!$G$17*(H314-0.6))*(H314-0.6))</f>
        <v>11.757895403349982</v>
      </c>
      <c r="J314" s="28">
        <f t="shared" si="80"/>
        <v>94.97102649618542</v>
      </c>
      <c r="K314" t="str">
        <f t="shared" si="83"/>
        <v>Fill</v>
      </c>
      <c r="L314" s="28">
        <f t="shared" si="84"/>
        <v>0</v>
      </c>
      <c r="M314" s="28">
        <f t="shared" si="85"/>
        <v>94.97102649618542</v>
      </c>
      <c r="N314" s="28">
        <f>SUM($L$3:L314)</f>
        <v>76858.11555450852</v>
      </c>
      <c r="O314" s="28">
        <f>SUM($M$3:M314)</f>
        <v>77640.8720749475</v>
      </c>
      <c r="Q314">
        <f>MATCH(C314,Ground!$A$3:$A$1999,1)</f>
        <v>100</v>
      </c>
      <c r="R314">
        <f ca="1">OFFSET(Ground!$A$2,Volume!Q314,0)</f>
        <v>6970</v>
      </c>
      <c r="S314">
        <f ca="1">OFFSET(Ground!$A$2,Volume!Q314,1)</f>
        <v>620.693906</v>
      </c>
      <c r="T314">
        <f ca="1">OFFSET(Ground!$A$2,Volume!Q314+1,0)</f>
        <v>7000</v>
      </c>
      <c r="U314">
        <f ca="1">OFFSET(Ground!$A$2,Volume!Q314+1,1)</f>
        <v>620.811343</v>
      </c>
      <c r="V314" s="26"/>
      <c r="W314">
        <f t="shared" si="72"/>
        <v>-38.317329842008235</v>
      </c>
      <c r="X314">
        <f>IF(Volume!W314&lt;'Temp Calcs'!$E$8,1,0)</f>
        <v>1</v>
      </c>
      <c r="Z314">
        <f t="shared" si="73"/>
        <v>37.78081658330772</v>
      </c>
      <c r="AA314">
        <f>IF(Volume!Z314&gt;'Temp Calcs'!$L$8,1,0)</f>
        <v>1</v>
      </c>
      <c r="AB314" s="6"/>
      <c r="AC314" s="5"/>
    </row>
    <row r="315" spans="1:29" ht="12.75">
      <c r="A315" s="1">
        <v>314</v>
      </c>
      <c r="B315" s="1"/>
      <c r="C315" s="31">
        <f t="shared" si="86"/>
        <v>6998.210000000001</v>
      </c>
      <c r="D315" s="8">
        <f t="shared" si="87"/>
        <v>622.0513274217586</v>
      </c>
      <c r="E315" s="7">
        <f t="shared" si="88"/>
        <v>0.5469448584202791</v>
      </c>
      <c r="F315" s="5"/>
      <c r="G315">
        <f t="shared" si="81"/>
        <v>620.8043359256667</v>
      </c>
      <c r="H315" s="8">
        <f t="shared" si="82"/>
        <v>1.2469914960919368</v>
      </c>
      <c r="I315" s="30">
        <f>IF(H315&lt;1,(Data!$G$16+14+0.8*Data!$G$17+Data!$G$18*(1-H315))*(1-H315),(Data!$G$16+6+Data!$G$17*(H315-0.6))*(H315-0.6))</f>
        <v>12.02625592153212</v>
      </c>
      <c r="J315" s="28">
        <f t="shared" si="80"/>
        <v>97.15825816214425</v>
      </c>
      <c r="K315" t="str">
        <f t="shared" si="83"/>
        <v>Fill</v>
      </c>
      <c r="L315" s="28">
        <f t="shared" si="84"/>
        <v>0</v>
      </c>
      <c r="M315" s="28">
        <f t="shared" si="85"/>
        <v>97.15825816214425</v>
      </c>
      <c r="N315" s="28">
        <f>SUM($L$3:L315)</f>
        <v>76858.11555450852</v>
      </c>
      <c r="O315" s="28">
        <f>SUM($M$3:M315)</f>
        <v>77738.03033310965</v>
      </c>
      <c r="Q315">
        <f>MATCH(C315,Ground!$A$3:$A$1999,1)</f>
        <v>100</v>
      </c>
      <c r="R315">
        <f ca="1">OFFSET(Ground!$A$2,Volume!Q315,0)</f>
        <v>6970</v>
      </c>
      <c r="S315">
        <f ca="1">OFFSET(Ground!$A$2,Volume!Q315,1)</f>
        <v>620.693906</v>
      </c>
      <c r="T315">
        <f ca="1">OFFSET(Ground!$A$2,Volume!Q315+1,0)</f>
        <v>7000</v>
      </c>
      <c r="U315">
        <f ca="1">OFFSET(Ground!$A$2,Volume!Q315+1,1)</f>
        <v>620.811343</v>
      </c>
      <c r="V315" s="26"/>
      <c r="W315">
        <f t="shared" si="72"/>
        <v>-38.605477655018234</v>
      </c>
      <c r="X315">
        <f>IF(Volume!W315&lt;'Temp Calcs'!$E$8,1,0)</f>
        <v>1</v>
      </c>
      <c r="Z315">
        <f t="shared" si="73"/>
        <v>38.070034136918125</v>
      </c>
      <c r="AA315">
        <f>IF(Volume!Z315&gt;'Temp Calcs'!$L$8,1,0)</f>
        <v>1</v>
      </c>
      <c r="AB315" s="6"/>
      <c r="AC315" s="5"/>
    </row>
    <row r="316" spans="1:29" ht="12.75">
      <c r="A316" s="1">
        <v>315</v>
      </c>
      <c r="B316" s="1"/>
      <c r="C316" s="31">
        <f t="shared" si="86"/>
        <v>7006.380000000001</v>
      </c>
      <c r="D316" s="8">
        <f t="shared" si="87"/>
        <v>622.0960128166915</v>
      </c>
      <c r="E316" s="7">
        <f t="shared" si="88"/>
        <v>0.5469448584202791</v>
      </c>
      <c r="F316" s="5"/>
      <c r="G316">
        <f t="shared" si="81"/>
        <v>620.8459004826666</v>
      </c>
      <c r="H316" s="8">
        <f t="shared" si="82"/>
        <v>1.2501123340249478</v>
      </c>
      <c r="I316" s="30">
        <f>IF(H316&lt;1,(Data!$G$16+14+0.8*Data!$G$17+Data!$G$18*(1-H316))*(1-H316),(Data!$G$16+6+Data!$G$17*(H316-0.6))*(H316-0.6))</f>
        <v>12.092381531804628</v>
      </c>
      <c r="J316" s="28">
        <f t="shared" si="80"/>
        <v>98.52463399688149</v>
      </c>
      <c r="K316" t="str">
        <f t="shared" si="83"/>
        <v>Fill</v>
      </c>
      <c r="L316" s="28">
        <f t="shared" si="84"/>
        <v>0</v>
      </c>
      <c r="M316" s="28">
        <f t="shared" si="85"/>
        <v>98.52463399688149</v>
      </c>
      <c r="N316" s="28">
        <f>SUM($L$3:L316)</f>
        <v>76858.11555450852</v>
      </c>
      <c r="O316" s="28">
        <f>SUM($M$3:M316)</f>
        <v>77836.55496710654</v>
      </c>
      <c r="Q316">
        <f>MATCH(C316,Ground!$A$3:$A$1999,1)</f>
        <v>101</v>
      </c>
      <c r="R316">
        <f ca="1">OFFSET(Ground!$A$2,Volume!Q316,0)</f>
        <v>7000</v>
      </c>
      <c r="S316">
        <f ca="1">OFFSET(Ground!$A$2,Volume!Q316,1)</f>
        <v>620.811343</v>
      </c>
      <c r="T316">
        <f ca="1">OFFSET(Ground!$A$2,Volume!Q316+1,0)</f>
        <v>7030</v>
      </c>
      <c r="U316">
        <f ca="1">OFFSET(Ground!$A$2,Volume!Q316+1,1)</f>
        <v>620.973839</v>
      </c>
      <c r="V316" s="26"/>
      <c r="W316">
        <f t="shared" si="72"/>
        <v>-38.8924786928704</v>
      </c>
      <c r="X316">
        <f>IF(Volume!W316&lt;'Temp Calcs'!$E$8,1,0)</f>
        <v>1</v>
      </c>
      <c r="Z316">
        <f t="shared" si="73"/>
        <v>38.35810065800036</v>
      </c>
      <c r="AA316">
        <f>IF(Volume!Z316&gt;'Temp Calcs'!$L$8,1,0)</f>
        <v>1</v>
      </c>
      <c r="AB316" s="6"/>
      <c r="AC316" s="5"/>
    </row>
    <row r="317" spans="1:29" ht="12.75">
      <c r="A317" s="1">
        <v>316</v>
      </c>
      <c r="B317" s="1"/>
      <c r="C317" s="31">
        <f t="shared" si="86"/>
        <v>7014.550000000001</v>
      </c>
      <c r="D317" s="8">
        <f t="shared" si="87"/>
        <v>622.1406982116245</v>
      </c>
      <c r="E317" s="7">
        <f t="shared" si="88"/>
        <v>0.5469448584202791</v>
      </c>
      <c r="F317" s="5"/>
      <c r="G317">
        <f t="shared" si="81"/>
        <v>620.8901535599999</v>
      </c>
      <c r="H317" s="8">
        <f t="shared" si="82"/>
        <v>1.2505446516245229</v>
      </c>
      <c r="I317" s="30">
        <f>IF(H317&lt;1,(Data!$G$16+14+0.8*Data!$G$17+Data!$G$18*(1-H317))*(1-H317),(Data!$G$16+6+Data!$G$17*(H317-0.6))*(H317-0.6))</f>
        <v>12.101547801021455</v>
      </c>
      <c r="J317" s="28">
        <f t="shared" si="80"/>
        <v>98.83220132459543</v>
      </c>
      <c r="K317" t="str">
        <f t="shared" si="83"/>
        <v>Fill</v>
      </c>
      <c r="L317" s="28">
        <f t="shared" si="84"/>
        <v>0</v>
      </c>
      <c r="M317" s="28">
        <f t="shared" si="85"/>
        <v>98.83220132459543</v>
      </c>
      <c r="N317" s="28">
        <f>SUM($L$3:L317)</f>
        <v>76858.11555450852</v>
      </c>
      <c r="O317" s="28">
        <f>SUM($M$3:M317)</f>
        <v>77935.38716843113</v>
      </c>
      <c r="Q317">
        <f>MATCH(C317,Ground!$A$3:$A$1999,1)</f>
        <v>101</v>
      </c>
      <c r="R317">
        <f ca="1">OFFSET(Ground!$A$2,Volume!Q317,0)</f>
        <v>7000</v>
      </c>
      <c r="S317">
        <f ca="1">OFFSET(Ground!$A$2,Volume!Q317,1)</f>
        <v>620.811343</v>
      </c>
      <c r="T317">
        <f ca="1">OFFSET(Ground!$A$2,Volume!Q317+1,0)</f>
        <v>7030</v>
      </c>
      <c r="U317">
        <f ca="1">OFFSET(Ground!$A$2,Volume!Q317+1,1)</f>
        <v>620.973839</v>
      </c>
      <c r="V317" s="26"/>
      <c r="W317">
        <f t="shared" si="72"/>
        <v>-39.178339787899276</v>
      </c>
      <c r="X317">
        <f>IF(Volume!W317&lt;'Temp Calcs'!$E$8,1,0)</f>
        <v>1</v>
      </c>
      <c r="Z317">
        <f t="shared" si="73"/>
        <v>38.645023004253844</v>
      </c>
      <c r="AA317">
        <f>IF(Volume!Z317&gt;'Temp Calcs'!$L$8,1,0)</f>
        <v>1</v>
      </c>
      <c r="AB317" s="6"/>
      <c r="AC317" s="5"/>
    </row>
    <row r="318" spans="1:29" ht="12.75">
      <c r="A318" s="1">
        <v>317</v>
      </c>
      <c r="B318" s="1"/>
      <c r="C318" s="31">
        <f t="shared" si="86"/>
        <v>7022.720000000001</v>
      </c>
      <c r="D318" s="8">
        <f t="shared" si="87"/>
        <v>622.1853836065574</v>
      </c>
      <c r="E318" s="7">
        <f t="shared" si="88"/>
        <v>0.5469448584202791</v>
      </c>
      <c r="F318" s="5"/>
      <c r="G318">
        <f t="shared" si="81"/>
        <v>620.9344066373334</v>
      </c>
      <c r="H318" s="8">
        <f t="shared" si="82"/>
        <v>1.2509769692239843</v>
      </c>
      <c r="I318" s="30">
        <f>IF(H318&lt;1,(Data!$G$16+14+0.8*Data!$G$17+Data!$G$18*(1-H318))*(1-H318),(Data!$G$16+6+Data!$G$17*(H318-0.6))*(H318-0.6))</f>
        <v>12.110715565423927</v>
      </c>
      <c r="J318" s="28">
        <f t="shared" si="80"/>
        <v>98.90709585193028</v>
      </c>
      <c r="K318" t="str">
        <f t="shared" si="83"/>
        <v>Fill</v>
      </c>
      <c r="L318" s="28">
        <f t="shared" si="84"/>
        <v>0</v>
      </c>
      <c r="M318" s="28">
        <f t="shared" si="85"/>
        <v>98.90709585193028</v>
      </c>
      <c r="N318" s="28">
        <f>SUM($L$3:L318)</f>
        <v>76858.11555450852</v>
      </c>
      <c r="O318" s="28">
        <f>SUM($M$3:M318)</f>
        <v>78034.29426428306</v>
      </c>
      <c r="Q318">
        <f>MATCH(C318,Ground!$A$3:$A$1999,1)</f>
        <v>101</v>
      </c>
      <c r="R318">
        <f ca="1">OFFSET(Ground!$A$2,Volume!Q318,0)</f>
        <v>7000</v>
      </c>
      <c r="S318">
        <f ca="1">OFFSET(Ground!$A$2,Volume!Q318,1)</f>
        <v>620.811343</v>
      </c>
      <c r="T318">
        <f ca="1">OFFSET(Ground!$A$2,Volume!Q318+1,0)</f>
        <v>7030</v>
      </c>
      <c r="U318">
        <f ca="1">OFFSET(Ground!$A$2,Volume!Q318+1,1)</f>
        <v>620.973839</v>
      </c>
      <c r="V318" s="26"/>
      <c r="W318">
        <f t="shared" si="72"/>
        <v>-39.46306771827234</v>
      </c>
      <c r="X318">
        <f>IF(Volume!W318&lt;'Temp Calcs'!$E$8,1,0)</f>
        <v>1</v>
      </c>
      <c r="Z318">
        <f t="shared" si="73"/>
        <v>38.930807979009806</v>
      </c>
      <c r="AA318">
        <f>IF(Volume!Z318&gt;'Temp Calcs'!$L$8,1,0)</f>
        <v>1</v>
      </c>
      <c r="AB318" s="6"/>
      <c r="AC318" s="5"/>
    </row>
    <row r="319" spans="1:29" ht="12.75">
      <c r="A319" s="1">
        <v>318</v>
      </c>
      <c r="B319" s="1"/>
      <c r="C319" s="31">
        <f t="shared" si="86"/>
        <v>7030.890000000001</v>
      </c>
      <c r="D319" s="8">
        <f t="shared" si="87"/>
        <v>622.2300690014903</v>
      </c>
      <c r="E319" s="7">
        <f t="shared" si="88"/>
        <v>0.5469448584202791</v>
      </c>
      <c r="F319" s="5"/>
      <c r="G319">
        <f t="shared" si="81"/>
        <v>620.9799560886667</v>
      </c>
      <c r="H319" s="8">
        <f t="shared" si="82"/>
        <v>1.2501129128236244</v>
      </c>
      <c r="I319" s="30">
        <f>IF(H319&lt;1,(Data!$G$16+14+0.8*Data!$G$17+Data!$G$18*(1-H319))*(1-H319),(Data!$G$16+6+Data!$G$17*(H319-0.6))*(H319-0.6))</f>
        <v>12.09239380285806</v>
      </c>
      <c r="J319" s="28">
        <f t="shared" si="80"/>
        <v>98.8697017694328</v>
      </c>
      <c r="K319" t="str">
        <f t="shared" si="83"/>
        <v>Fill</v>
      </c>
      <c r="L319" s="28">
        <f t="shared" si="84"/>
        <v>0</v>
      </c>
      <c r="M319" s="28">
        <f t="shared" si="85"/>
        <v>98.8697017694328</v>
      </c>
      <c r="N319" s="28">
        <f>SUM($L$3:L319)</f>
        <v>76858.11555450852</v>
      </c>
      <c r="O319" s="28">
        <f>SUM($M$3:M319)</f>
        <v>78133.1639660525</v>
      </c>
      <c r="Q319">
        <f>MATCH(C319,Ground!$A$3:$A$1999,1)</f>
        <v>102</v>
      </c>
      <c r="R319">
        <f ca="1">OFFSET(Ground!$A$2,Volume!Q319,0)</f>
        <v>7030</v>
      </c>
      <c r="S319">
        <f ca="1">OFFSET(Ground!$A$2,Volume!Q319,1)</f>
        <v>620.973839</v>
      </c>
      <c r="T319">
        <f ca="1">OFFSET(Ground!$A$2,Volume!Q319+1,0)</f>
        <v>7060</v>
      </c>
      <c r="U319">
        <f ca="1">OFFSET(Ground!$A$2,Volume!Q319+1,1)</f>
        <v>621.180033</v>
      </c>
      <c r="V319" s="26"/>
      <c r="W319">
        <f t="shared" si="72"/>
        <v>-39.74666920852552</v>
      </c>
      <c r="X319">
        <f>IF(Volume!W319&lt;'Temp Calcs'!$E$8,1,0)</f>
        <v>1</v>
      </c>
      <c r="Z319">
        <f t="shared" si="73"/>
        <v>39.21546233176882</v>
      </c>
      <c r="AA319">
        <f>IF(Volume!Z319&gt;'Temp Calcs'!$L$8,1,0)</f>
        <v>1</v>
      </c>
      <c r="AB319" s="6"/>
      <c r="AC319" s="5"/>
    </row>
    <row r="320" spans="1:29" ht="12.75">
      <c r="A320" s="1">
        <v>319</v>
      </c>
      <c r="B320" s="1"/>
      <c r="C320" s="31">
        <f t="shared" si="86"/>
        <v>7039.060000000001</v>
      </c>
      <c r="D320" s="8">
        <f t="shared" si="87"/>
        <v>622.2747543964233</v>
      </c>
      <c r="E320" s="7">
        <f t="shared" si="88"/>
        <v>0.5469448584202791</v>
      </c>
      <c r="F320" s="5"/>
      <c r="G320">
        <f t="shared" si="81"/>
        <v>621.036109588</v>
      </c>
      <c r="H320" s="8">
        <f t="shared" si="82"/>
        <v>1.2386448084232597</v>
      </c>
      <c r="I320" s="30">
        <f>IF(H320&lt;1,(Data!$G$16+14+0.8*Data!$G$17+Data!$G$18*(1-H320))*(1-H320),(Data!$G$16+6+Data!$G$17*(H320-0.6))*(H320-0.6))</f>
        <v>11.849785700076087</v>
      </c>
      <c r="J320" s="28">
        <f t="shared" si="80"/>
        <v>97.80380326948685</v>
      </c>
      <c r="K320" t="str">
        <f t="shared" si="83"/>
        <v>Fill</v>
      </c>
      <c r="L320" s="28">
        <f t="shared" si="84"/>
        <v>0</v>
      </c>
      <c r="M320" s="28">
        <f t="shared" si="85"/>
        <v>97.80380326948685</v>
      </c>
      <c r="N320" s="28">
        <f>SUM($L$3:L320)</f>
        <v>76858.11555450852</v>
      </c>
      <c r="O320" s="28">
        <f>SUM($M$3:M320)</f>
        <v>78230.96776932199</v>
      </c>
      <c r="Q320">
        <f>MATCH(C320,Ground!$A$3:$A$1999,1)</f>
        <v>102</v>
      </c>
      <c r="R320">
        <f ca="1">OFFSET(Ground!$A$2,Volume!Q320,0)</f>
        <v>7030</v>
      </c>
      <c r="S320">
        <f ca="1">OFFSET(Ground!$A$2,Volume!Q320,1)</f>
        <v>620.973839</v>
      </c>
      <c r="T320">
        <f ca="1">OFFSET(Ground!$A$2,Volume!Q320+1,0)</f>
        <v>7060</v>
      </c>
      <c r="U320">
        <f ca="1">OFFSET(Ground!$A$2,Volume!Q320+1,1)</f>
        <v>621.180033</v>
      </c>
      <c r="V320" s="26"/>
      <c r="W320">
        <f t="shared" si="72"/>
        <v>-40.029150930092385</v>
      </c>
      <c r="X320">
        <f>IF(Volume!W320&lt;'Temp Calcs'!$E$8,1,0)</f>
        <v>1</v>
      </c>
      <c r="Z320">
        <f t="shared" si="73"/>
        <v>39.498992758731966</v>
      </c>
      <c r="AA320">
        <f>IF(Volume!Z320&gt;'Temp Calcs'!$L$8,1,0)</f>
        <v>1</v>
      </c>
      <c r="AB320" s="6"/>
      <c r="AC320" s="5"/>
    </row>
    <row r="321" spans="1:29" ht="12.75">
      <c r="A321" s="1">
        <v>320</v>
      </c>
      <c r="B321" s="1"/>
      <c r="C321" s="31">
        <f t="shared" si="86"/>
        <v>7047.230000000001</v>
      </c>
      <c r="D321" s="8">
        <f t="shared" si="87"/>
        <v>622.3194397913562</v>
      </c>
      <c r="E321" s="7">
        <f t="shared" si="88"/>
        <v>0.5469448584202791</v>
      </c>
      <c r="F321" s="5"/>
      <c r="G321">
        <f t="shared" si="81"/>
        <v>621.0922630873333</v>
      </c>
      <c r="H321" s="8">
        <f t="shared" si="82"/>
        <v>1.2271767040228951</v>
      </c>
      <c r="I321" s="30">
        <f>IF(H321&lt;1,(Data!$G$16+14+0.8*Data!$G$17+Data!$G$18*(1-H321))*(1-H321),(Data!$G$16+6+Data!$G$17*(H321-0.6))*(H321-0.6))</f>
        <v>11.608229736642413</v>
      </c>
      <c r="J321" s="28">
        <f t="shared" si="80"/>
        <v>95.82599305899592</v>
      </c>
      <c r="K321" t="str">
        <f t="shared" si="83"/>
        <v>Fill</v>
      </c>
      <c r="L321" s="28">
        <f t="shared" si="84"/>
        <v>0</v>
      </c>
      <c r="M321" s="28">
        <f t="shared" si="85"/>
        <v>95.82599305899592</v>
      </c>
      <c r="N321" s="28">
        <f>SUM($L$3:L321)</f>
        <v>76858.11555450852</v>
      </c>
      <c r="O321" s="28">
        <f>SUM($M$3:M321)</f>
        <v>78326.79376238098</v>
      </c>
      <c r="Q321">
        <f>MATCH(C321,Ground!$A$3:$A$1999,1)</f>
        <v>102</v>
      </c>
      <c r="R321">
        <f ca="1">OFFSET(Ground!$A$2,Volume!Q321,0)</f>
        <v>7030</v>
      </c>
      <c r="S321">
        <f ca="1">OFFSET(Ground!$A$2,Volume!Q321,1)</f>
        <v>620.973839</v>
      </c>
      <c r="T321">
        <f ca="1">OFFSET(Ground!$A$2,Volume!Q321+1,0)</f>
        <v>7060</v>
      </c>
      <c r="U321">
        <f ca="1">OFFSET(Ground!$A$2,Volume!Q321+1,1)</f>
        <v>621.180033</v>
      </c>
      <c r="V321" s="26"/>
      <c r="W321">
        <f t="shared" si="72"/>
        <v>-40.31051950182808</v>
      </c>
      <c r="X321">
        <f>IF(Volume!W321&lt;'Temp Calcs'!$E$8,1,0)</f>
        <v>1</v>
      </c>
      <c r="Z321">
        <f t="shared" si="73"/>
        <v>39.7814059033267</v>
      </c>
      <c r="AA321">
        <f>IF(Volume!Z321&gt;'Temp Calcs'!$L$8,1,0)</f>
        <v>1</v>
      </c>
      <c r="AB321" s="6"/>
      <c r="AC321" s="5"/>
    </row>
    <row r="322" spans="1:29" ht="12.75">
      <c r="A322" s="1">
        <v>321</v>
      </c>
      <c r="B322" s="1"/>
      <c r="C322" s="31">
        <f t="shared" si="86"/>
        <v>7055.4000000000015</v>
      </c>
      <c r="D322" s="8">
        <f t="shared" si="87"/>
        <v>622.3641251862891</v>
      </c>
      <c r="E322" s="7">
        <f t="shared" si="88"/>
        <v>0.5469448584202791</v>
      </c>
      <c r="F322" s="5"/>
      <c r="G322">
        <f t="shared" si="81"/>
        <v>621.1484165866667</v>
      </c>
      <c r="H322" s="8">
        <f t="shared" si="82"/>
        <v>1.2157085996224168</v>
      </c>
      <c r="I322" s="30">
        <f>IF(H322&lt;1,(Data!$G$16+14+0.8*Data!$G$17+Data!$G$18*(1-H322))*(1-H322),(Data!$G$16+6+Data!$G$17*(H322-0.6))*(H322-0.6))</f>
        <v>11.367725912554661</v>
      </c>
      <c r="J322" s="28">
        <f t="shared" si="80"/>
        <v>93.8567788269709</v>
      </c>
      <c r="K322" t="str">
        <f t="shared" si="83"/>
        <v>Fill</v>
      </c>
      <c r="L322" s="28">
        <f t="shared" si="84"/>
        <v>0</v>
      </c>
      <c r="M322" s="28">
        <f t="shared" si="85"/>
        <v>93.8567788269709</v>
      </c>
      <c r="N322" s="28">
        <f>SUM($L$3:L322)</f>
        <v>76858.11555450852</v>
      </c>
      <c r="O322" s="28">
        <f>SUM($M$3:M322)</f>
        <v>78420.65054120796</v>
      </c>
      <c r="Q322">
        <f>MATCH(C322,Ground!$A$3:$A$1999,1)</f>
        <v>102</v>
      </c>
      <c r="R322">
        <f ca="1">OFFSET(Ground!$A$2,Volume!Q322,0)</f>
        <v>7030</v>
      </c>
      <c r="S322">
        <f ca="1">OFFSET(Ground!$A$2,Volume!Q322,1)</f>
        <v>620.973839</v>
      </c>
      <c r="T322">
        <f ca="1">OFFSET(Ground!$A$2,Volume!Q322+1,0)</f>
        <v>7060</v>
      </c>
      <c r="U322">
        <f ca="1">OFFSET(Ground!$A$2,Volume!Q322+1,1)</f>
        <v>621.180033</v>
      </c>
      <c r="V322" s="26"/>
      <c r="W322">
        <f t="shared" si="72"/>
        <v>-40.59078149052513</v>
      </c>
      <c r="X322">
        <f>IF(Volume!W322&lt;'Temp Calcs'!$E$8,1,0)</f>
        <v>1</v>
      </c>
      <c r="Z322">
        <f t="shared" si="73"/>
        <v>40.06270835672456</v>
      </c>
      <c r="AA322">
        <f>IF(Volume!Z322&gt;'Temp Calcs'!$L$8,1,0)</f>
        <v>1</v>
      </c>
      <c r="AB322" s="6"/>
      <c r="AC322" s="5"/>
    </row>
    <row r="323" spans="1:29" ht="12.75">
      <c r="A323" s="1">
        <v>322</v>
      </c>
      <c r="B323" s="1"/>
      <c r="C323" s="31">
        <f t="shared" si="86"/>
        <v>7063.5700000000015</v>
      </c>
      <c r="D323" s="8">
        <f t="shared" si="87"/>
        <v>622.408810581222</v>
      </c>
      <c r="E323" s="7">
        <f t="shared" si="88"/>
        <v>0.5469448584202791</v>
      </c>
      <c r="F323" s="5"/>
      <c r="G323">
        <f t="shared" si="81"/>
        <v>621.209025208</v>
      </c>
      <c r="H323" s="8">
        <f t="shared" si="82"/>
        <v>1.1997853732220847</v>
      </c>
      <c r="I323" s="30">
        <f>IF(H323&lt;1,(Data!$G$16+14+0.8*Data!$G$17+Data!$G$18*(1-H323))*(1-H323),(Data!$G$16+6+Data!$G$17*(H323-0.6))*(H323-0.6))</f>
        <v>11.035535947277978</v>
      </c>
      <c r="J323" s="28">
        <f t="shared" si="80"/>
        <v>91.51732469741715</v>
      </c>
      <c r="K323" t="str">
        <f t="shared" si="83"/>
        <v>Fill</v>
      </c>
      <c r="L323" s="28">
        <f t="shared" si="84"/>
        <v>0</v>
      </c>
      <c r="M323" s="28">
        <f t="shared" si="85"/>
        <v>91.51732469741715</v>
      </c>
      <c r="N323" s="28">
        <f>SUM($L$3:L323)</f>
        <v>76858.11555450852</v>
      </c>
      <c r="O323" s="28">
        <f>SUM($M$3:M323)</f>
        <v>78512.16786590537</v>
      </c>
      <c r="Q323">
        <f>MATCH(C323,Ground!$A$3:$A$1999,1)</f>
        <v>103</v>
      </c>
      <c r="R323">
        <f ca="1">OFFSET(Ground!$A$2,Volume!Q323,0)</f>
        <v>7060</v>
      </c>
      <c r="S323">
        <f ca="1">OFFSET(Ground!$A$2,Volume!Q323,1)</f>
        <v>621.180033</v>
      </c>
      <c r="T323">
        <f ca="1">OFFSET(Ground!$A$2,Volume!Q323+1,0)</f>
        <v>7090</v>
      </c>
      <c r="U323">
        <f ca="1">OFFSET(Ground!$A$2,Volume!Q323+1,1)</f>
        <v>621.423665</v>
      </c>
      <c r="V323" s="26"/>
      <c r="W323">
        <f aca="true" t="shared" si="89" ref="W323:W386">($W$1-C323)/(D323-$X$1)</f>
        <v>-40.86994341142505</v>
      </c>
      <c r="X323">
        <f>IF(Volume!W323&lt;'Temp Calcs'!$E$8,1,0)</f>
        <v>1</v>
      </c>
      <c r="Z323">
        <f aca="true" t="shared" si="90" ref="Z323:Z386">(C323-$Z$1)/(D323-$AA$1)</f>
        <v>40.34290665835475</v>
      </c>
      <c r="AA323">
        <f>IF(Volume!Z323&gt;'Temp Calcs'!$L$8,1,0)</f>
        <v>1</v>
      </c>
      <c r="AB323" s="6"/>
      <c r="AC323" s="5"/>
    </row>
    <row r="324" spans="1:29" ht="12.75">
      <c r="A324" s="1">
        <v>323</v>
      </c>
      <c r="B324" s="1"/>
      <c r="C324" s="31">
        <f t="shared" si="86"/>
        <v>7071.740000000002</v>
      </c>
      <c r="D324" s="8">
        <f t="shared" si="87"/>
        <v>622.453495976155</v>
      </c>
      <c r="E324" s="7">
        <f t="shared" si="88"/>
        <v>0.5469448584202791</v>
      </c>
      <c r="F324" s="5"/>
      <c r="G324">
        <f t="shared" si="81"/>
        <v>621.2753743226667</v>
      </c>
      <c r="H324" s="8">
        <f t="shared" si="82"/>
        <v>1.1781216534882333</v>
      </c>
      <c r="I324" s="30">
        <f>IF(H324&lt;1,(Data!$G$16+14+0.8*Data!$G$17+Data!$G$18*(1-H324))*(1-H324),(Data!$G$16+6+Data!$G$17*(H324-0.6))*(H324-0.6))</f>
        <v>10.58684504073961</v>
      </c>
      <c r="J324" s="28">
        <f t="shared" si="80"/>
        <v>88.32742633605264</v>
      </c>
      <c r="K324" t="str">
        <f t="shared" si="83"/>
        <v>Fill</v>
      </c>
      <c r="L324" s="28">
        <f t="shared" si="84"/>
        <v>0</v>
      </c>
      <c r="M324" s="28">
        <f t="shared" si="85"/>
        <v>88.32742633605264</v>
      </c>
      <c r="N324" s="28">
        <f>SUM($L$3:L324)</f>
        <v>76858.11555450852</v>
      </c>
      <c r="O324" s="28">
        <f>SUM($M$3:M324)</f>
        <v>78600.49529224142</v>
      </c>
      <c r="Q324">
        <f>MATCH(C324,Ground!$A$3:$A$1999,1)</f>
        <v>103</v>
      </c>
      <c r="R324">
        <f ca="1">OFFSET(Ground!$A$2,Volume!Q324,0)</f>
        <v>7060</v>
      </c>
      <c r="S324">
        <f ca="1">OFFSET(Ground!$A$2,Volume!Q324,1)</f>
        <v>621.180033</v>
      </c>
      <c r="T324">
        <f ca="1">OFFSET(Ground!$A$2,Volume!Q324+1,0)</f>
        <v>7090</v>
      </c>
      <c r="U324">
        <f ca="1">OFFSET(Ground!$A$2,Volume!Q324+1,1)</f>
        <v>621.423665</v>
      </c>
      <c r="V324" s="26"/>
      <c r="W324">
        <f t="shared" si="89"/>
        <v>-41.14801172872308</v>
      </c>
      <c r="X324">
        <f>IF(Volume!W324&lt;'Temp Calcs'!$E$8,1,0)</f>
        <v>1</v>
      </c>
      <c r="Z324">
        <f t="shared" si="90"/>
        <v>40.622007296410615</v>
      </c>
      <c r="AA324">
        <f>IF(Volume!Z324&gt;'Temp Calcs'!$L$8,1,0)</f>
        <v>1</v>
      </c>
      <c r="AB324" s="6"/>
      <c r="AC324" s="5"/>
    </row>
    <row r="325" spans="1:29" ht="12.75">
      <c r="A325" s="1">
        <v>324</v>
      </c>
      <c r="B325" s="1"/>
      <c r="C325" s="31">
        <f t="shared" si="86"/>
        <v>7079.910000000002</v>
      </c>
      <c r="D325" s="8">
        <f t="shared" si="87"/>
        <v>622.498181371088</v>
      </c>
      <c r="E325" s="7">
        <f t="shared" si="88"/>
        <v>0.5469448584202791</v>
      </c>
      <c r="F325" s="5"/>
      <c r="G325">
        <f t="shared" si="81"/>
        <v>621.3417234373334</v>
      </c>
      <c r="H325" s="8">
        <f t="shared" si="82"/>
        <v>1.1564579337546093</v>
      </c>
      <c r="I325" s="30">
        <f>IF(H325&lt;1,(Data!$G$16+14+0.8*Data!$G$17+Data!$G$18*(1-H325))*(1-H325),(Data!$G$16+6+Data!$G$17*(H325-0.6))*(H325-0.6))</f>
        <v>10.141908668227545</v>
      </c>
      <c r="J325" s="28">
        <f t="shared" si="80"/>
        <v>84.67695890113158</v>
      </c>
      <c r="K325" t="str">
        <f t="shared" si="83"/>
        <v>Fill</v>
      </c>
      <c r="L325" s="28">
        <f t="shared" si="84"/>
        <v>0</v>
      </c>
      <c r="M325" s="28">
        <f t="shared" si="85"/>
        <v>84.67695890113158</v>
      </c>
      <c r="N325" s="28">
        <f>SUM($L$3:L325)</f>
        <v>76858.11555450852</v>
      </c>
      <c r="O325" s="28">
        <f>SUM($M$3:M325)</f>
        <v>78685.17225114256</v>
      </c>
      <c r="Q325">
        <f>MATCH(C325,Ground!$A$3:$A$1999,1)</f>
        <v>103</v>
      </c>
      <c r="R325">
        <f ca="1">OFFSET(Ground!$A$2,Volume!Q325,0)</f>
        <v>7060</v>
      </c>
      <c r="S325">
        <f ca="1">OFFSET(Ground!$A$2,Volume!Q325,1)</f>
        <v>621.180033</v>
      </c>
      <c r="T325">
        <f ca="1">OFFSET(Ground!$A$2,Volume!Q325+1,0)</f>
        <v>7090</v>
      </c>
      <c r="U325">
        <f ca="1">OFFSET(Ground!$A$2,Volume!Q325+1,1)</f>
        <v>621.423665</v>
      </c>
      <c r="V325" s="26"/>
      <c r="W325">
        <f t="shared" si="89"/>
        <v>-41.42499285606689</v>
      </c>
      <c r="X325">
        <f>IF(Volume!W325&lt;'Temp Calcs'!$E$8,1,0)</f>
        <v>1</v>
      </c>
      <c r="Z325">
        <f t="shared" si="90"/>
        <v>40.90001670835034</v>
      </c>
      <c r="AA325">
        <f>IF(Volume!Z325&gt;'Temp Calcs'!$L$8,1,0)</f>
        <v>1</v>
      </c>
      <c r="AB325" s="6"/>
      <c r="AC325" s="5"/>
    </row>
    <row r="326" spans="1:29" ht="12.75">
      <c r="A326" s="1">
        <v>325</v>
      </c>
      <c r="B326" s="1"/>
      <c r="C326" s="31">
        <f t="shared" si="86"/>
        <v>7088.080000000002</v>
      </c>
      <c r="D326" s="8">
        <f t="shared" si="87"/>
        <v>622.5428667660209</v>
      </c>
      <c r="E326" s="7">
        <f t="shared" si="88"/>
        <v>0.5469448584202791</v>
      </c>
      <c r="F326" s="5"/>
      <c r="G326">
        <f t="shared" si="81"/>
        <v>621.408072552</v>
      </c>
      <c r="H326" s="8">
        <f t="shared" si="82"/>
        <v>1.1347942140208716</v>
      </c>
      <c r="I326" s="30">
        <f>IF(H326&lt;1,(Data!$G$16+14+0.8*Data!$G$17+Data!$G$18*(1-H326))*(1-H326),(Data!$G$16+6+Data!$G$17*(H326-0.6))*(H326-0.6))</f>
        <v>9.700726829734753</v>
      </c>
      <c r="J326" s="28">
        <f t="shared" si="80"/>
        <v>81.05716600917671</v>
      </c>
      <c r="K326" t="str">
        <f t="shared" si="83"/>
        <v>Fill</v>
      </c>
      <c r="L326" s="28">
        <f t="shared" si="84"/>
        <v>0</v>
      </c>
      <c r="M326" s="28">
        <f t="shared" si="85"/>
        <v>81.05716600917671</v>
      </c>
      <c r="N326" s="28">
        <f>SUM($L$3:L326)</f>
        <v>76858.11555450852</v>
      </c>
      <c r="O326" s="28">
        <f>SUM($M$3:M326)</f>
        <v>78766.22941715174</v>
      </c>
      <c r="Q326">
        <f>MATCH(C326,Ground!$A$3:$A$1999,1)</f>
        <v>103</v>
      </c>
      <c r="R326">
        <f ca="1">OFFSET(Ground!$A$2,Volume!Q326,0)</f>
        <v>7060</v>
      </c>
      <c r="S326">
        <f ca="1">OFFSET(Ground!$A$2,Volume!Q326,1)</f>
        <v>621.180033</v>
      </c>
      <c r="T326">
        <f ca="1">OFFSET(Ground!$A$2,Volume!Q326+1,0)</f>
        <v>7090</v>
      </c>
      <c r="U326">
        <f ca="1">OFFSET(Ground!$A$2,Volume!Q326+1,1)</f>
        <v>621.423665</v>
      </c>
      <c r="V326" s="26"/>
      <c r="W326">
        <f t="shared" si="89"/>
        <v>-41.700893157050544</v>
      </c>
      <c r="X326">
        <f>IF(Volume!W326&lt;'Temp Calcs'!$E$8,1,0)</f>
        <v>1</v>
      </c>
      <c r="Z326">
        <f t="shared" si="90"/>
        <v>41.17694128139263</v>
      </c>
      <c r="AA326">
        <f>IF(Volume!Z326&gt;'Temp Calcs'!$L$8,1,0)</f>
        <v>1</v>
      </c>
      <c r="AB326" s="6"/>
      <c r="AC326" s="5"/>
    </row>
    <row r="327" spans="1:29" ht="12.75">
      <c r="A327" s="1">
        <v>326</v>
      </c>
      <c r="B327" s="1"/>
      <c r="C327" s="31">
        <f t="shared" si="86"/>
        <v>7096.250000000002</v>
      </c>
      <c r="D327" s="8">
        <f t="shared" si="87"/>
        <v>622.5875521609538</v>
      </c>
      <c r="E327" s="7">
        <f t="shared" si="88"/>
        <v>0.5469448584202791</v>
      </c>
      <c r="F327" s="5"/>
      <c r="G327">
        <f t="shared" si="81"/>
        <v>621.4894091666667</v>
      </c>
      <c r="H327" s="8">
        <f t="shared" si="82"/>
        <v>1.098142994287059</v>
      </c>
      <c r="I327" s="30">
        <f>IF(H327&lt;1,(Data!$G$16+14+0.8*Data!$G$17+Data!$G$18*(1-H327))*(1-H327),(Data!$G$16+6+Data!$G$17*(H327-0.6))*(H327-0.6))</f>
        <v>8.962873679622055</v>
      </c>
      <c r="J327" s="28">
        <f t="shared" si="80"/>
        <v>76.24080808072324</v>
      </c>
      <c r="K327" t="str">
        <f t="shared" si="83"/>
        <v>Fill</v>
      </c>
      <c r="L327" s="28">
        <f t="shared" si="84"/>
        <v>0</v>
      </c>
      <c r="M327" s="28">
        <f t="shared" si="85"/>
        <v>76.24080808072324</v>
      </c>
      <c r="N327" s="28">
        <f>SUM($L$3:L327)</f>
        <v>76858.11555450852</v>
      </c>
      <c r="O327" s="28">
        <f>SUM($M$3:M327)</f>
        <v>78842.47022523246</v>
      </c>
      <c r="Q327">
        <f>MATCH(C327,Ground!$A$3:$A$1999,1)</f>
        <v>104</v>
      </c>
      <c r="R327">
        <f ca="1">OFFSET(Ground!$A$2,Volume!Q327,0)</f>
        <v>7090</v>
      </c>
      <c r="S327">
        <f ca="1">OFFSET(Ground!$A$2,Volume!Q327,1)</f>
        <v>621.423665</v>
      </c>
      <c r="T327">
        <f ca="1">OFFSET(Ground!$A$2,Volume!Q327+1,0)</f>
        <v>7120</v>
      </c>
      <c r="U327">
        <f ca="1">OFFSET(Ground!$A$2,Volume!Q327+1,1)</f>
        <v>621.739237</v>
      </c>
      <c r="V327" s="26"/>
      <c r="W327">
        <f t="shared" si="89"/>
        <v>-41.975718945700585</v>
      </c>
      <c r="X327">
        <f>IF(Volume!W327&lt;'Temp Calcs'!$E$8,1,0)</f>
        <v>1</v>
      </c>
      <c r="Z327">
        <f t="shared" si="90"/>
        <v>41.45278735300467</v>
      </c>
      <c r="AA327">
        <f>IF(Volume!Z327&gt;'Temp Calcs'!$L$8,1,0)</f>
        <v>1</v>
      </c>
      <c r="AB327" s="6"/>
      <c r="AC327" s="5"/>
    </row>
    <row r="328" spans="1:29" ht="12.75">
      <c r="A328" s="1">
        <v>327</v>
      </c>
      <c r="B328" s="1"/>
      <c r="C328" s="31">
        <f t="shared" si="86"/>
        <v>7104.420000000002</v>
      </c>
      <c r="D328" s="8">
        <f t="shared" si="87"/>
        <v>622.6322375558867</v>
      </c>
      <c r="E328" s="7">
        <f t="shared" si="88"/>
        <v>0.5469448584202791</v>
      </c>
      <c r="F328" s="5"/>
      <c r="G328">
        <f t="shared" si="81"/>
        <v>621.5753499413333</v>
      </c>
      <c r="H328" s="8">
        <f t="shared" si="82"/>
        <v>1.056887614553375</v>
      </c>
      <c r="I328" s="30">
        <f>IF(H328&lt;1,(Data!$G$16+14+0.8*Data!$G$17+Data!$G$18*(1-H328))*(1-H328),(Data!$G$16+6+Data!$G$17*(H328-0.6))*(H328-0.6))</f>
        <v>8.145187002183095</v>
      </c>
      <c r="J328" s="28">
        <f t="shared" si="80"/>
        <v>69.88642788517465</v>
      </c>
      <c r="K328" t="str">
        <f t="shared" si="83"/>
        <v>Fill</v>
      </c>
      <c r="L328" s="28">
        <f t="shared" si="84"/>
        <v>0</v>
      </c>
      <c r="M328" s="28">
        <f t="shared" si="85"/>
        <v>69.88642788517465</v>
      </c>
      <c r="N328" s="28">
        <f>SUM($L$3:L328)</f>
        <v>76858.11555450852</v>
      </c>
      <c r="O328" s="28">
        <f>SUM($M$3:M328)</f>
        <v>78912.35665311763</v>
      </c>
      <c r="Q328">
        <f>MATCH(C328,Ground!$A$3:$A$1999,1)</f>
        <v>104</v>
      </c>
      <c r="R328">
        <f ca="1">OFFSET(Ground!$A$2,Volume!Q328,0)</f>
        <v>7090</v>
      </c>
      <c r="S328">
        <f ca="1">OFFSET(Ground!$A$2,Volume!Q328,1)</f>
        <v>621.423665</v>
      </c>
      <c r="T328">
        <f ca="1">OFFSET(Ground!$A$2,Volume!Q328+1,0)</f>
        <v>7120</v>
      </c>
      <c r="U328">
        <f ca="1">OFFSET(Ground!$A$2,Volume!Q328+1,1)</f>
        <v>621.739237</v>
      </c>
      <c r="V328" s="26"/>
      <c r="W328">
        <f t="shared" si="89"/>
        <v>-42.24947648695854</v>
      </c>
      <c r="X328">
        <f>IF(Volume!W328&lt;'Temp Calcs'!$E$8,1,0)</f>
        <v>1</v>
      </c>
      <c r="Z328">
        <f t="shared" si="90"/>
        <v>41.72756121138644</v>
      </c>
      <c r="AA328">
        <f>IF(Volume!Z328&gt;'Temp Calcs'!$L$8,1,0)</f>
        <v>1</v>
      </c>
      <c r="AB328" s="6"/>
      <c r="AC328" s="5"/>
    </row>
    <row r="329" spans="1:29" ht="12.75">
      <c r="A329" s="1">
        <v>328</v>
      </c>
      <c r="B329" s="1"/>
      <c r="C329" s="31">
        <f t="shared" si="86"/>
        <v>7112.590000000002</v>
      </c>
      <c r="D329" s="8">
        <f t="shared" si="87"/>
        <v>622.6769229508196</v>
      </c>
      <c r="E329" s="7">
        <f t="shared" si="88"/>
        <v>0.5469448584202791</v>
      </c>
      <c r="F329" s="5"/>
      <c r="G329">
        <f t="shared" si="81"/>
        <v>621.661290716</v>
      </c>
      <c r="H329" s="8">
        <f t="shared" si="82"/>
        <v>1.0156322348195772</v>
      </c>
      <c r="I329" s="30">
        <f>IF(H329&lt;1,(Data!$G$16+14+0.8*Data!$G$17+Data!$G$18*(1-H329))*(1-H329),(Data!$G$16+6+Data!$G$17*(H329-0.6))*(H329-0.6))</f>
        <v>7.341116375597701</v>
      </c>
      <c r="J329" s="28">
        <f t="shared" si="80"/>
        <v>63.26154929823512</v>
      </c>
      <c r="K329" t="str">
        <f t="shared" si="83"/>
        <v>Fill</v>
      </c>
      <c r="L329" s="28">
        <f t="shared" si="84"/>
        <v>0</v>
      </c>
      <c r="M329" s="28">
        <f t="shared" si="85"/>
        <v>63.26154929823512</v>
      </c>
      <c r="N329" s="28">
        <f>SUM($L$3:L329)</f>
        <v>76858.11555450852</v>
      </c>
      <c r="O329" s="28">
        <f>SUM($M$3:M329)</f>
        <v>78975.61820241586</v>
      </c>
      <c r="Q329">
        <f>MATCH(C329,Ground!$A$3:$A$1999,1)</f>
        <v>104</v>
      </c>
      <c r="R329">
        <f ca="1">OFFSET(Ground!$A$2,Volume!Q329,0)</f>
        <v>7090</v>
      </c>
      <c r="S329">
        <f ca="1">OFFSET(Ground!$A$2,Volume!Q329,1)</f>
        <v>621.423665</v>
      </c>
      <c r="T329">
        <f ca="1">OFFSET(Ground!$A$2,Volume!Q329+1,0)</f>
        <v>7120</v>
      </c>
      <c r="U329">
        <f ca="1">OFFSET(Ground!$A$2,Volume!Q329+1,1)</f>
        <v>621.739237</v>
      </c>
      <c r="V329" s="26"/>
      <c r="W329">
        <f t="shared" si="89"/>
        <v>-42.522171997156796</v>
      </c>
      <c r="X329">
        <f>IF(Volume!W329&lt;'Temp Calcs'!$E$8,1,0)</f>
        <v>1</v>
      </c>
      <c r="Z329">
        <f t="shared" si="90"/>
        <v>42.00126909594824</v>
      </c>
      <c r="AA329">
        <f>IF(Volume!Z329&gt;'Temp Calcs'!$L$8,1,0)</f>
        <v>1</v>
      </c>
      <c r="AB329" s="6"/>
      <c r="AC329" s="5"/>
    </row>
    <row r="330" spans="1:29" ht="12.75">
      <c r="A330" s="1">
        <v>329</v>
      </c>
      <c r="B330" s="1"/>
      <c r="C330" s="31">
        <f t="shared" si="86"/>
        <v>7120.760000000002</v>
      </c>
      <c r="D330" s="8">
        <f t="shared" si="87"/>
        <v>622.7216083457527</v>
      </c>
      <c r="E330" s="7">
        <f t="shared" si="88"/>
        <v>0.5469448584202791</v>
      </c>
      <c r="F330" s="5"/>
      <c r="G330">
        <f t="shared" si="81"/>
        <v>621.7483414706667</v>
      </c>
      <c r="H330" s="8">
        <f t="shared" si="82"/>
        <v>0.973266875085983</v>
      </c>
      <c r="I330" s="30">
        <f>IF(H330&lt;1,(Data!$G$16+14+0.8*Data!$G$17+Data!$G$18*(1-H330))*(1-H330),(Data!$G$16+6+Data!$G$17*(H330-0.6))*(H330-0.6))</f>
        <v>0.7285703175966</v>
      </c>
      <c r="J330" s="28">
        <f t="shared" si="80"/>
        <v>32.96467014169901</v>
      </c>
      <c r="K330" t="str">
        <f t="shared" si="83"/>
        <v>Fill</v>
      </c>
      <c r="L330" s="28">
        <f t="shared" si="84"/>
        <v>0</v>
      </c>
      <c r="M330" s="28">
        <f t="shared" si="85"/>
        <v>32.96467014169901</v>
      </c>
      <c r="N330" s="28">
        <f>SUM($L$3:L330)</f>
        <v>76858.11555450852</v>
      </c>
      <c r="O330" s="28">
        <f>SUM($M$3:M330)</f>
        <v>79008.58287255756</v>
      </c>
      <c r="Q330">
        <f>MATCH(C330,Ground!$A$3:$A$1999,1)</f>
        <v>105</v>
      </c>
      <c r="R330">
        <f ca="1">OFFSET(Ground!$A$2,Volume!Q330,0)</f>
        <v>7120</v>
      </c>
      <c r="S330">
        <f ca="1">OFFSET(Ground!$A$2,Volume!Q330,1)</f>
        <v>621.739237</v>
      </c>
      <c r="T330">
        <f ca="1">OFFSET(Ground!$A$2,Volume!Q330+1,0)</f>
        <v>7150</v>
      </c>
      <c r="U330">
        <f ca="1">OFFSET(Ground!$A$2,Volume!Q330+1,1)</f>
        <v>622.098624</v>
      </c>
      <c r="V330" s="26"/>
      <c r="W330">
        <f t="shared" si="89"/>
        <v>-42.793811644488855</v>
      </c>
      <c r="X330">
        <f>IF(Volume!W330&lt;'Temp Calcs'!$E$8,1,0)</f>
        <v>1</v>
      </c>
      <c r="Z330">
        <f t="shared" si="90"/>
        <v>42.27391719778284</v>
      </c>
      <c r="AA330">
        <f>IF(Volume!Z330&gt;'Temp Calcs'!$L$8,1,0)</f>
        <v>1</v>
      </c>
      <c r="AB330" s="6"/>
      <c r="AC330" s="5"/>
    </row>
    <row r="331" spans="1:29" ht="12.75">
      <c r="A331" s="1">
        <v>330</v>
      </c>
      <c r="B331" s="1"/>
      <c r="C331" s="31">
        <f t="shared" si="86"/>
        <v>7128.930000000002</v>
      </c>
      <c r="D331" s="8">
        <f t="shared" si="87"/>
        <v>622.7662937406856</v>
      </c>
      <c r="E331" s="7">
        <f t="shared" si="88"/>
        <v>0.5469448584202791</v>
      </c>
      <c r="F331" s="5"/>
      <c r="G331">
        <f t="shared" si="81"/>
        <v>621.8462145303333</v>
      </c>
      <c r="H331" s="8">
        <f t="shared" si="82"/>
        <v>0.9200792103522417</v>
      </c>
      <c r="I331" s="30">
        <f>IF(H331&lt;1,(Data!$G$16+14+0.8*Data!$G$17+Data!$G$18*(1-H331))*(1-H331),(Data!$G$16+6+Data!$G$17*(H331-0.6))*(H331-0.6))</f>
        <v>2.1866201436548676</v>
      </c>
      <c r="J331" s="28">
        <f t="shared" si="80"/>
        <v>11.908553034212352</v>
      </c>
      <c r="K331" t="str">
        <f t="shared" si="83"/>
        <v>Fill</v>
      </c>
      <c r="L331" s="28">
        <f t="shared" si="84"/>
        <v>0</v>
      </c>
      <c r="M331" s="28">
        <f t="shared" si="85"/>
        <v>11.908553034212352</v>
      </c>
      <c r="N331" s="28">
        <f>SUM($L$3:L331)</f>
        <v>76858.11555450852</v>
      </c>
      <c r="O331" s="28">
        <f>SUM($M$3:M331)</f>
        <v>79020.49142559177</v>
      </c>
      <c r="Q331">
        <f>MATCH(C331,Ground!$A$3:$A$1999,1)</f>
        <v>105</v>
      </c>
      <c r="R331">
        <f ca="1">OFFSET(Ground!$A$2,Volume!Q331,0)</f>
        <v>7120</v>
      </c>
      <c r="S331">
        <f ca="1">OFFSET(Ground!$A$2,Volume!Q331,1)</f>
        <v>621.739237</v>
      </c>
      <c r="T331">
        <f ca="1">OFFSET(Ground!$A$2,Volume!Q331+1,0)</f>
        <v>7150</v>
      </c>
      <c r="U331">
        <f ca="1">OFFSET(Ground!$A$2,Volume!Q331+1,1)</f>
        <v>622.098624</v>
      </c>
      <c r="V331" s="26"/>
      <c r="W331">
        <f t="shared" si="89"/>
        <v>-43.064401549475335</v>
      </c>
      <c r="X331">
        <f>IF(Volume!W331&lt;'Temp Calcs'!$E$8,1,0)</f>
        <v>1</v>
      </c>
      <c r="Z331">
        <f t="shared" si="90"/>
        <v>42.545511660133116</v>
      </c>
      <c r="AA331">
        <f>IF(Volume!Z331&gt;'Temp Calcs'!$L$8,1,0)</f>
        <v>1</v>
      </c>
      <c r="AB331" s="6"/>
      <c r="AC331" s="5"/>
    </row>
    <row r="332" spans="1:29" ht="12.75">
      <c r="A332" s="1">
        <v>331</v>
      </c>
      <c r="B332" s="1"/>
      <c r="C332" s="31">
        <f t="shared" si="86"/>
        <v>7137.100000000002</v>
      </c>
      <c r="D332" s="8">
        <f t="shared" si="87"/>
        <v>622.8109791356185</v>
      </c>
      <c r="E332" s="7">
        <f t="shared" si="88"/>
        <v>0.5469448584202791</v>
      </c>
      <c r="F332" s="5"/>
      <c r="G332">
        <f t="shared" si="81"/>
        <v>621.94408759</v>
      </c>
      <c r="H332" s="8">
        <f t="shared" si="82"/>
        <v>0.8668915456185005</v>
      </c>
      <c r="I332" s="30">
        <f>IF(H332&lt;1,(Data!$G$16+14+0.8*Data!$G$17+Data!$G$18*(1-H332))*(1-H332),(Data!$G$16+6+Data!$G$17*(H332-0.6))*(H332-0.6))</f>
        <v>3.655985680432451</v>
      </c>
      <c r="J332" s="28">
        <f t="shared" si="80"/>
        <v>23.867044791396907</v>
      </c>
      <c r="K332" t="str">
        <f t="shared" si="83"/>
        <v>Fill</v>
      </c>
      <c r="L332" s="28">
        <f t="shared" si="84"/>
        <v>0</v>
      </c>
      <c r="M332" s="28">
        <f t="shared" si="85"/>
        <v>23.867044791396907</v>
      </c>
      <c r="N332" s="28">
        <f>SUM($L$3:L332)</f>
        <v>76858.11555450852</v>
      </c>
      <c r="O332" s="28">
        <f>SUM($M$3:M332)</f>
        <v>79044.35847038316</v>
      </c>
      <c r="Q332">
        <f>MATCH(C332,Ground!$A$3:$A$1999,1)</f>
        <v>105</v>
      </c>
      <c r="R332">
        <f ca="1">OFFSET(Ground!$A$2,Volume!Q332,0)</f>
        <v>7120</v>
      </c>
      <c r="S332">
        <f ca="1">OFFSET(Ground!$A$2,Volume!Q332,1)</f>
        <v>621.739237</v>
      </c>
      <c r="T332">
        <f ca="1">OFFSET(Ground!$A$2,Volume!Q332+1,0)</f>
        <v>7150</v>
      </c>
      <c r="U332">
        <f ca="1">OFFSET(Ground!$A$2,Volume!Q332+1,1)</f>
        <v>622.098624</v>
      </c>
      <c r="V332" s="26"/>
      <c r="W332">
        <f t="shared" si="89"/>
        <v>-43.333947785422325</v>
      </c>
      <c r="X332">
        <f>IF(Volume!W332&lt;'Temp Calcs'!$E$8,1,0)</f>
        <v>1</v>
      </c>
      <c r="Z332">
        <f t="shared" si="90"/>
        <v>42.81605857885213</v>
      </c>
      <c r="AA332">
        <f>IF(Volume!Z332&gt;'Temp Calcs'!$L$8,1,0)</f>
        <v>1</v>
      </c>
      <c r="AB332" s="6"/>
      <c r="AC332" s="5"/>
    </row>
    <row r="333" spans="1:29" ht="12.75">
      <c r="A333" s="1">
        <v>332</v>
      </c>
      <c r="B333" s="1"/>
      <c r="C333" s="31">
        <f t="shared" si="86"/>
        <v>7145.270000000002</v>
      </c>
      <c r="D333" s="8">
        <f t="shared" si="87"/>
        <v>622.8556645305514</v>
      </c>
      <c r="E333" s="7">
        <f t="shared" si="88"/>
        <v>0.5469448584202791</v>
      </c>
      <c r="F333" s="5"/>
      <c r="G333">
        <f t="shared" si="81"/>
        <v>622.0419606496666</v>
      </c>
      <c r="H333" s="8">
        <f t="shared" si="82"/>
        <v>0.8137038808847592</v>
      </c>
      <c r="I333" s="30">
        <f>IF(H333&lt;1,(Data!$G$16+14+0.8*Data!$G$17+Data!$G$18*(1-H333))*(1-H333),(Data!$G$16+6+Data!$G$17*(H333-0.6))*(H333-0.6))</f>
        <v>5.136666927929349</v>
      </c>
      <c r="J333" s="28">
        <f t="shared" si="80"/>
        <v>35.917985905158275</v>
      </c>
      <c r="K333" t="str">
        <f t="shared" si="83"/>
        <v>Fill</v>
      </c>
      <c r="L333" s="28">
        <f t="shared" si="84"/>
        <v>0</v>
      </c>
      <c r="M333" s="28">
        <f t="shared" si="85"/>
        <v>35.917985905158275</v>
      </c>
      <c r="N333" s="28">
        <f>SUM($L$3:L333)</f>
        <v>76858.11555450852</v>
      </c>
      <c r="O333" s="28">
        <f>SUM($M$3:M333)</f>
        <v>79080.27645628832</v>
      </c>
      <c r="Q333">
        <f>MATCH(C333,Ground!$A$3:$A$1999,1)</f>
        <v>105</v>
      </c>
      <c r="R333">
        <f ca="1">OFFSET(Ground!$A$2,Volume!Q333,0)</f>
        <v>7120</v>
      </c>
      <c r="S333">
        <f ca="1">OFFSET(Ground!$A$2,Volume!Q333,1)</f>
        <v>621.739237</v>
      </c>
      <c r="T333">
        <f ca="1">OFFSET(Ground!$A$2,Volume!Q333+1,0)</f>
        <v>7150</v>
      </c>
      <c r="U333">
        <f ca="1">OFFSET(Ground!$A$2,Volume!Q333+1,1)</f>
        <v>622.098624</v>
      </c>
      <c r="V333" s="26"/>
      <c r="W333">
        <f t="shared" si="89"/>
        <v>-43.60245637887667</v>
      </c>
      <c r="X333">
        <f>IF(Volume!W333&lt;'Temp Calcs'!$E$8,1,0)</f>
        <v>1</v>
      </c>
      <c r="Z333">
        <f t="shared" si="90"/>
        <v>43.08556400286011</v>
      </c>
      <c r="AA333">
        <f>IF(Volume!Z333&gt;'Temp Calcs'!$L$8,1,0)</f>
        <v>1</v>
      </c>
      <c r="AB333" s="6"/>
      <c r="AC333" s="5"/>
    </row>
    <row r="334" spans="1:29" ht="12.75">
      <c r="A334" s="1">
        <v>333</v>
      </c>
      <c r="B334" s="1"/>
      <c r="C334" s="31">
        <f t="shared" si="86"/>
        <v>7153.440000000002</v>
      </c>
      <c r="D334" s="8">
        <f t="shared" si="87"/>
        <v>622.9003499254844</v>
      </c>
      <c r="E334" s="7">
        <f t="shared" si="88"/>
        <v>0.5469448584202791</v>
      </c>
      <c r="F334" s="5"/>
      <c r="G334">
        <f t="shared" si="81"/>
        <v>622.144714496</v>
      </c>
      <c r="H334" s="8">
        <f t="shared" si="82"/>
        <v>0.7556354294844141</v>
      </c>
      <c r="I334" s="30">
        <f>IF(H334&lt;1,(Data!$G$16+14+0.8*Data!$G$17+Data!$G$18*(1-H334))*(1-H334),(Data!$G$16+6+Data!$G$17*(H334-0.6))*(H334-0.6))</f>
        <v>6.76614440467047</v>
      </c>
      <c r="J334" s="28">
        <f t="shared" si="80"/>
        <v>48.6229842936707</v>
      </c>
      <c r="K334" t="str">
        <f t="shared" si="83"/>
        <v>Fill</v>
      </c>
      <c r="L334" s="28">
        <f t="shared" si="84"/>
        <v>0</v>
      </c>
      <c r="M334" s="28">
        <f t="shared" si="85"/>
        <v>48.6229842936707</v>
      </c>
      <c r="N334" s="28">
        <f>SUM($L$3:L334)</f>
        <v>76858.11555450852</v>
      </c>
      <c r="O334" s="28">
        <f>SUM($M$3:M334)</f>
        <v>79128.899440582</v>
      </c>
      <c r="Q334">
        <f>MATCH(C334,Ground!$A$3:$A$1999,1)</f>
        <v>106</v>
      </c>
      <c r="R334">
        <f ca="1">OFFSET(Ground!$A$2,Volume!Q334,0)</f>
        <v>7150</v>
      </c>
      <c r="S334">
        <f ca="1">OFFSET(Ground!$A$2,Volume!Q334,1)</f>
        <v>622.098624</v>
      </c>
      <c r="T334">
        <f ca="1">OFFSET(Ground!$A$2,Volume!Q334+1,0)</f>
        <v>7180</v>
      </c>
      <c r="U334">
        <f ca="1">OFFSET(Ground!$A$2,Volume!Q334+1,1)</f>
        <v>622.500576</v>
      </c>
      <c r="V334" s="26"/>
      <c r="W334">
        <f t="shared" si="89"/>
        <v>-43.86993331007466</v>
      </c>
      <c r="X334">
        <f>IF(Volume!W334&lt;'Temp Calcs'!$E$8,1,0)</f>
        <v>1</v>
      </c>
      <c r="Z334">
        <f t="shared" si="90"/>
        <v>43.35403393459482</v>
      </c>
      <c r="AA334">
        <f>IF(Volume!Z334&gt;'Temp Calcs'!$L$8,1,0)</f>
        <v>1</v>
      </c>
      <c r="AB334" s="6"/>
      <c r="AC334" s="5"/>
    </row>
    <row r="335" spans="1:29" ht="12.75">
      <c r="A335" s="1">
        <v>334</v>
      </c>
      <c r="B335" s="1"/>
      <c r="C335" s="31">
        <f t="shared" si="86"/>
        <v>7161.610000000002</v>
      </c>
      <c r="D335" s="8">
        <f t="shared" si="87"/>
        <v>622.9450353204173</v>
      </c>
      <c r="E335" s="7">
        <f t="shared" si="88"/>
        <v>0.5469448584202791</v>
      </c>
      <c r="F335" s="5"/>
      <c r="G335">
        <f t="shared" si="81"/>
        <v>622.254179424</v>
      </c>
      <c r="H335" s="8">
        <f t="shared" si="82"/>
        <v>0.6908558964173608</v>
      </c>
      <c r="I335" s="30">
        <f>IF(H335&lt;1,(Data!$G$16+14+0.8*Data!$G$17+Data!$G$18*(1-H335))*(1-H335),(Data!$G$16+6+Data!$G$17*(H335-0.6))*(H335-0.6))</f>
        <v>8.599859771007614</v>
      </c>
      <c r="J335" s="28">
        <f t="shared" si="80"/>
        <v>62.77012705764553</v>
      </c>
      <c r="K335" t="str">
        <f t="shared" si="83"/>
        <v>Fill</v>
      </c>
      <c r="L335" s="28">
        <f t="shared" si="84"/>
        <v>0</v>
      </c>
      <c r="M335" s="28">
        <f t="shared" si="85"/>
        <v>62.77012705764553</v>
      </c>
      <c r="N335" s="28">
        <f>SUM($L$3:L335)</f>
        <v>76858.11555450852</v>
      </c>
      <c r="O335" s="28">
        <f>SUM($M$3:M335)</f>
        <v>79191.66956763965</v>
      </c>
      <c r="Q335">
        <f>MATCH(C335,Ground!$A$3:$A$1999,1)</f>
        <v>106</v>
      </c>
      <c r="R335">
        <f ca="1">OFFSET(Ground!$A$2,Volume!Q335,0)</f>
        <v>7150</v>
      </c>
      <c r="S335">
        <f ca="1">OFFSET(Ground!$A$2,Volume!Q335,1)</f>
        <v>622.098624</v>
      </c>
      <c r="T335">
        <f ca="1">OFFSET(Ground!$A$2,Volume!Q335+1,0)</f>
        <v>7180</v>
      </c>
      <c r="U335">
        <f ca="1">OFFSET(Ground!$A$2,Volume!Q335+1,1)</f>
        <v>622.500576</v>
      </c>
      <c r="V335" s="26"/>
      <c r="W335">
        <f t="shared" si="89"/>
        <v>-44.13638451338687</v>
      </c>
      <c r="X335">
        <f>IF(Volume!W335&lt;'Temp Calcs'!$E$8,1,0)</f>
        <v>1</v>
      </c>
      <c r="Z335">
        <f t="shared" si="90"/>
        <v>43.62147433045799</v>
      </c>
      <c r="AA335">
        <f>IF(Volume!Z335&gt;'Temp Calcs'!$L$8,1,0)</f>
        <v>1</v>
      </c>
      <c r="AB335" s="6"/>
      <c r="AC335" s="5"/>
    </row>
    <row r="336" spans="1:29" ht="12.75">
      <c r="A336" s="1">
        <v>335</v>
      </c>
      <c r="B336" s="1"/>
      <c r="C336" s="31">
        <f t="shared" si="86"/>
        <v>7169.7800000000025</v>
      </c>
      <c r="D336" s="8">
        <f t="shared" si="87"/>
        <v>622.9897207153502</v>
      </c>
      <c r="E336" s="7">
        <f t="shared" si="88"/>
        <v>0.5469448584202791</v>
      </c>
      <c r="F336" s="5"/>
      <c r="G336">
        <f t="shared" si="81"/>
        <v>622.363644352</v>
      </c>
      <c r="H336" s="8">
        <f t="shared" si="82"/>
        <v>0.6260763633501938</v>
      </c>
      <c r="I336" s="30">
        <f>IF(H336&lt;1,(Data!$G$16+14+0.8*Data!$G$17+Data!$G$18*(1-H336))*(1-H336),(Data!$G$16+6+Data!$G$17*(H336-0.6))*(H336-0.6))</f>
        <v>10.450360688965562</v>
      </c>
      <c r="J336" s="28">
        <f t="shared" si="80"/>
        <v>77.82015057899112</v>
      </c>
      <c r="K336" t="str">
        <f t="shared" si="83"/>
        <v>Fill</v>
      </c>
      <c r="L336" s="28">
        <f t="shared" si="84"/>
        <v>0</v>
      </c>
      <c r="M336" s="28">
        <f t="shared" si="85"/>
        <v>77.82015057899112</v>
      </c>
      <c r="N336" s="28">
        <f>SUM($L$3:L336)</f>
        <v>76858.11555450852</v>
      </c>
      <c r="O336" s="28">
        <f>SUM($M$3:M336)</f>
        <v>79269.48971821864</v>
      </c>
      <c r="Q336">
        <f>MATCH(C336,Ground!$A$3:$A$1999,1)</f>
        <v>106</v>
      </c>
      <c r="R336">
        <f ca="1">OFFSET(Ground!$A$2,Volume!Q336,0)</f>
        <v>7150</v>
      </c>
      <c r="S336">
        <f ca="1">OFFSET(Ground!$A$2,Volume!Q336,1)</f>
        <v>622.098624</v>
      </c>
      <c r="T336">
        <f ca="1">OFFSET(Ground!$A$2,Volume!Q336+1,0)</f>
        <v>7180</v>
      </c>
      <c r="U336">
        <f ca="1">OFFSET(Ground!$A$2,Volume!Q336+1,1)</f>
        <v>622.500576</v>
      </c>
      <c r="V336" s="26"/>
      <c r="W336">
        <f t="shared" si="89"/>
        <v>-44.40181587775579</v>
      </c>
      <c r="X336">
        <f>IF(Volume!W336&lt;'Temp Calcs'!$E$8,1,0)</f>
        <v>1</v>
      </c>
      <c r="Z336">
        <f t="shared" si="90"/>
        <v>43.88789110125466</v>
      </c>
      <c r="AA336">
        <f>IF(Volume!Z336&gt;'Temp Calcs'!$L$8,1,0)</f>
        <v>1</v>
      </c>
      <c r="AB336" s="6"/>
      <c r="AC336" s="5"/>
    </row>
    <row r="337" spans="1:29" ht="12.75">
      <c r="A337" s="1">
        <v>336</v>
      </c>
      <c r="B337" s="1"/>
      <c r="C337" s="31">
        <f t="shared" si="86"/>
        <v>7177.950000000003</v>
      </c>
      <c r="D337" s="8">
        <f t="shared" si="87"/>
        <v>623.0344061102832</v>
      </c>
      <c r="E337" s="7">
        <f t="shared" si="88"/>
        <v>0.5469448584202791</v>
      </c>
      <c r="F337" s="5"/>
      <c r="G337">
        <f t="shared" si="81"/>
        <v>622.47310928</v>
      </c>
      <c r="H337" s="8">
        <f t="shared" si="82"/>
        <v>0.5612968302831405</v>
      </c>
      <c r="I337" s="30">
        <f>IF(H337&lt;1,(Data!$G$16+14+0.8*Data!$G$17+Data!$G$18*(1-H337))*(1-H337),(Data!$G$16+6+Data!$G$17*(H337-0.6))*(H337-0.6))</f>
        <v>12.317647158537818</v>
      </c>
      <c r="J337" s="28">
        <f t="shared" si="80"/>
        <v>93.00731205705213</v>
      </c>
      <c r="K337" t="str">
        <f t="shared" si="83"/>
        <v>Fill</v>
      </c>
      <c r="L337" s="28">
        <f t="shared" si="84"/>
        <v>0</v>
      </c>
      <c r="M337" s="28">
        <f t="shared" si="85"/>
        <v>93.00731205705213</v>
      </c>
      <c r="N337" s="28">
        <f>SUM($L$3:L337)</f>
        <v>76858.11555450852</v>
      </c>
      <c r="O337" s="28">
        <f>SUM($M$3:M337)</f>
        <v>79362.49703027568</v>
      </c>
      <c r="Q337">
        <f>MATCH(C337,Ground!$A$3:$A$1999,1)</f>
        <v>106</v>
      </c>
      <c r="R337">
        <f ca="1">OFFSET(Ground!$A$2,Volume!Q337,0)</f>
        <v>7150</v>
      </c>
      <c r="S337">
        <f ca="1">OFFSET(Ground!$A$2,Volume!Q337,1)</f>
        <v>622.098624</v>
      </c>
      <c r="T337">
        <f ca="1">OFFSET(Ground!$A$2,Volume!Q337+1,0)</f>
        <v>7180</v>
      </c>
      <c r="U337">
        <f ca="1">OFFSET(Ground!$A$2,Volume!Q337+1,1)</f>
        <v>622.500576</v>
      </c>
      <c r="V337" s="26"/>
      <c r="W337">
        <f t="shared" si="89"/>
        <v>-44.666233247130464</v>
      </c>
      <c r="X337">
        <f>IF(Volume!W337&lt;'Temp Calcs'!$E$8,1,0)</f>
        <v>1</v>
      </c>
      <c r="Z337">
        <f t="shared" si="90"/>
        <v>44.153290112629385</v>
      </c>
      <c r="AA337">
        <f>IF(Volume!Z337&gt;'Temp Calcs'!$L$8,1,0)</f>
        <v>1</v>
      </c>
      <c r="AB337" s="6"/>
      <c r="AC337" s="5"/>
    </row>
    <row r="338" spans="1:29" ht="12.75">
      <c r="A338" s="1">
        <v>337</v>
      </c>
      <c r="B338" s="1"/>
      <c r="C338" s="31">
        <f t="shared" si="86"/>
        <v>7186.120000000003</v>
      </c>
      <c r="D338" s="8">
        <f t="shared" si="87"/>
        <v>623.0790915052161</v>
      </c>
      <c r="E338" s="7">
        <f t="shared" si="88"/>
        <v>0.5469448584202791</v>
      </c>
      <c r="F338" s="5"/>
      <c r="G338">
        <f t="shared" si="81"/>
        <v>622.5758122200001</v>
      </c>
      <c r="H338" s="8">
        <f t="shared" si="82"/>
        <v>0.5032792852159673</v>
      </c>
      <c r="I338" s="30">
        <f>IF(H338&lt;1,(Data!$G$16+14+0.8*Data!$G$17+Data!$G$18*(1-H338))*(1-H338),(Data!$G$16+6+Data!$G$17*(H338-0.6))*(H338-0.6))</f>
        <v>14.004266379116808</v>
      </c>
      <c r="J338" s="28">
        <f t="shared" si="80"/>
        <v>107.5250168013201</v>
      </c>
      <c r="K338" t="str">
        <f t="shared" si="83"/>
        <v>Fill</v>
      </c>
      <c r="L338" s="28">
        <f t="shared" si="84"/>
        <v>0</v>
      </c>
      <c r="M338" s="28">
        <f t="shared" si="85"/>
        <v>107.5250168013201</v>
      </c>
      <c r="N338" s="28">
        <f>SUM($L$3:L338)</f>
        <v>76858.11555450852</v>
      </c>
      <c r="O338" s="28">
        <f>SUM($M$3:M338)</f>
        <v>79470.022047077</v>
      </c>
      <c r="Q338">
        <f>MATCH(C338,Ground!$A$3:$A$1999,1)</f>
        <v>107</v>
      </c>
      <c r="R338">
        <f ca="1">OFFSET(Ground!$A$2,Volume!Q338,0)</f>
        <v>7180</v>
      </c>
      <c r="S338">
        <f ca="1">OFFSET(Ground!$A$2,Volume!Q338,1)</f>
        <v>622.500576</v>
      </c>
      <c r="T338">
        <f ca="1">OFFSET(Ground!$A$2,Volume!Q338+1,0)</f>
        <v>7210</v>
      </c>
      <c r="U338">
        <f ca="1">OFFSET(Ground!$A$2,Volume!Q338+1,1)</f>
        <v>622.869381</v>
      </c>
      <c r="V338" s="26"/>
      <c r="W338">
        <f t="shared" si="89"/>
        <v>-44.92964242089526</v>
      </c>
      <c r="X338">
        <f>IF(Volume!W338&lt;'Temp Calcs'!$E$8,1,0)</f>
        <v>1</v>
      </c>
      <c r="Z338">
        <f t="shared" si="90"/>
        <v>44.41767718549655</v>
      </c>
      <c r="AA338">
        <f>IF(Volume!Z338&gt;'Temp Calcs'!$L$8,1,0)</f>
        <v>1</v>
      </c>
      <c r="AB338" s="6"/>
      <c r="AC338" s="5"/>
    </row>
    <row r="339" spans="1:29" ht="12.75">
      <c r="A339" s="1">
        <v>338</v>
      </c>
      <c r="B339" s="1"/>
      <c r="C339" s="31">
        <f t="shared" si="86"/>
        <v>7194.290000000003</v>
      </c>
      <c r="D339" s="8">
        <f t="shared" si="87"/>
        <v>623.1237769001491</v>
      </c>
      <c r="E339" s="7">
        <f t="shared" si="88"/>
        <v>0.5469448584202791</v>
      </c>
      <c r="F339" s="5"/>
      <c r="G339">
        <f t="shared" si="81"/>
        <v>622.676250115</v>
      </c>
      <c r="H339" s="8">
        <f t="shared" si="82"/>
        <v>0.44752678514907984</v>
      </c>
      <c r="I339" s="30">
        <f>IF(H339&lt;1,(Data!$G$16+14+0.8*Data!$G$17+Data!$G$18*(1-H339))*(1-H339),(Data!$G$16+6+Data!$G$17*(H339-0.6))*(H339-0.6))</f>
        <v>15.63772475020045</v>
      </c>
      <c r="J339" s="28">
        <f t="shared" si="80"/>
        <v>121.08753376326207</v>
      </c>
      <c r="K339" t="str">
        <f t="shared" si="83"/>
        <v>Cut</v>
      </c>
      <c r="L339" s="28">
        <f t="shared" si="84"/>
        <v>121.08753376326207</v>
      </c>
      <c r="M339" s="28">
        <f t="shared" si="85"/>
        <v>0</v>
      </c>
      <c r="N339" s="28">
        <f>SUM($L$3:L339)</f>
        <v>76979.20308827178</v>
      </c>
      <c r="O339" s="28">
        <f>SUM($M$3:M339)</f>
        <v>79470.022047077</v>
      </c>
      <c r="Q339">
        <f>MATCH(C339,Ground!$A$3:$A$1999,1)</f>
        <v>107</v>
      </c>
      <c r="R339">
        <f ca="1">OFFSET(Ground!$A$2,Volume!Q339,0)</f>
        <v>7180</v>
      </c>
      <c r="S339">
        <f ca="1">OFFSET(Ground!$A$2,Volume!Q339,1)</f>
        <v>622.500576</v>
      </c>
      <c r="T339">
        <f ca="1">OFFSET(Ground!$A$2,Volume!Q339+1,0)</f>
        <v>7210</v>
      </c>
      <c r="U339">
        <f ca="1">OFFSET(Ground!$A$2,Volume!Q339+1,1)</f>
        <v>622.869381</v>
      </c>
      <c r="V339" s="26"/>
      <c r="W339">
        <f t="shared" si="89"/>
        <v>-45.19204915429357</v>
      </c>
      <c r="X339">
        <f>IF(Volume!W339&lt;'Temp Calcs'!$E$8,1,0)</f>
        <v>1</v>
      </c>
      <c r="Z339">
        <f t="shared" si="90"/>
        <v>44.68105809646574</v>
      </c>
      <c r="AA339">
        <f>IF(Volume!Z339&gt;'Temp Calcs'!$L$8,1,0)</f>
        <v>1</v>
      </c>
      <c r="AB339" s="6"/>
      <c r="AC339" s="5"/>
    </row>
    <row r="340" spans="1:29" ht="12.75">
      <c r="A340" s="1">
        <v>339</v>
      </c>
      <c r="B340" s="1"/>
      <c r="C340" s="31">
        <f t="shared" si="86"/>
        <v>7202.460000000003</v>
      </c>
      <c r="D340" s="8">
        <f t="shared" si="87"/>
        <v>623.168462295082</v>
      </c>
      <c r="E340" s="7">
        <f t="shared" si="88"/>
        <v>0.5469448584202791</v>
      </c>
      <c r="F340" s="5"/>
      <c r="G340">
        <f t="shared" si="81"/>
        <v>622.77668801</v>
      </c>
      <c r="H340" s="8">
        <f t="shared" si="82"/>
        <v>0.391774285081965</v>
      </c>
      <c r="I340" s="30">
        <f>IF(H340&lt;1,(Data!$G$16+14+0.8*Data!$G$17+Data!$G$18*(1-H340))*(1-H340),(Data!$G$16+6+Data!$G$17*(H340-0.6))*(H340-0.6))</f>
        <v>17.28361648634566</v>
      </c>
      <c r="J340" s="28">
        <f t="shared" si="80"/>
        <v>134.48367895129206</v>
      </c>
      <c r="K340" t="str">
        <f t="shared" si="83"/>
        <v>Cut</v>
      </c>
      <c r="L340" s="28">
        <f t="shared" si="84"/>
        <v>134.48367895129206</v>
      </c>
      <c r="M340" s="28">
        <f t="shared" si="85"/>
        <v>0</v>
      </c>
      <c r="N340" s="28">
        <f>SUM($L$3:L340)</f>
        <v>77113.68676722307</v>
      </c>
      <c r="O340" s="28">
        <f>SUM($M$3:M340)</f>
        <v>79470.022047077</v>
      </c>
      <c r="Q340">
        <f>MATCH(C340,Ground!$A$3:$A$1999,1)</f>
        <v>107</v>
      </c>
      <c r="R340">
        <f ca="1">OFFSET(Ground!$A$2,Volume!Q340,0)</f>
        <v>7180</v>
      </c>
      <c r="S340">
        <f ca="1">OFFSET(Ground!$A$2,Volume!Q340,1)</f>
        <v>622.500576</v>
      </c>
      <c r="T340">
        <f ca="1">OFFSET(Ground!$A$2,Volume!Q340+1,0)</f>
        <v>7210</v>
      </c>
      <c r="U340">
        <f ca="1">OFFSET(Ground!$A$2,Volume!Q340+1,1)</f>
        <v>622.869381</v>
      </c>
      <c r="V340" s="26"/>
      <c r="W340">
        <f t="shared" si="89"/>
        <v>-45.45345915884786</v>
      </c>
      <c r="X340">
        <f>IF(Volume!W340&lt;'Temp Calcs'!$E$8,1,0)</f>
        <v>1</v>
      </c>
      <c r="Z340">
        <f t="shared" si="90"/>
        <v>44.94343857826329</v>
      </c>
      <c r="AA340">
        <f>IF(Volume!Z340&gt;'Temp Calcs'!$L$8,1,0)</f>
        <v>1</v>
      </c>
      <c r="AB340" s="6"/>
      <c r="AC340" s="5"/>
    </row>
    <row r="341" spans="1:29" ht="12.75">
      <c r="A341" s="1">
        <v>340</v>
      </c>
      <c r="B341" s="1"/>
      <c r="C341" s="31">
        <f t="shared" si="86"/>
        <v>7210.630000000003</v>
      </c>
      <c r="D341" s="8">
        <f t="shared" si="87"/>
        <v>623.2131476900149</v>
      </c>
      <c r="E341" s="7">
        <f t="shared" si="88"/>
        <v>0.5469448584202791</v>
      </c>
      <c r="F341" s="5"/>
      <c r="G341">
        <f t="shared" si="81"/>
        <v>622.876744293</v>
      </c>
      <c r="H341" s="8">
        <f t="shared" si="82"/>
        <v>0.3364033970149194</v>
      </c>
      <c r="I341" s="30">
        <f>IF(H341&lt;1,(Data!$G$16+14+0.8*Data!$G$17+Data!$G$18*(1-H341))*(1-H341),(Data!$G$16+6+Data!$G$17*(H341-0.6))*(H341-0.6))</f>
        <v>18.93054850418087</v>
      </c>
      <c r="J341" s="28">
        <f t="shared" si="80"/>
        <v>147.9348639863022</v>
      </c>
      <c r="K341" t="str">
        <f t="shared" si="83"/>
        <v>Cut</v>
      </c>
      <c r="L341" s="28">
        <f t="shared" si="84"/>
        <v>147.9348639863022</v>
      </c>
      <c r="M341" s="28">
        <f t="shared" si="85"/>
        <v>0</v>
      </c>
      <c r="N341" s="28">
        <f>SUM($L$3:L341)</f>
        <v>77261.62163120937</v>
      </c>
      <c r="O341" s="28">
        <f>SUM($M$3:M341)</f>
        <v>79470.022047077</v>
      </c>
      <c r="Q341">
        <f>MATCH(C341,Ground!$A$3:$A$1999,1)</f>
        <v>108</v>
      </c>
      <c r="R341">
        <f ca="1">OFFSET(Ground!$A$2,Volume!Q341,0)</f>
        <v>7210</v>
      </c>
      <c r="S341">
        <f ca="1">OFFSET(Ground!$A$2,Volume!Q341,1)</f>
        <v>622.869381</v>
      </c>
      <c r="T341">
        <f ca="1">OFFSET(Ground!$A$2,Volume!Q341+1,0)</f>
        <v>7240</v>
      </c>
      <c r="U341">
        <f ca="1">OFFSET(Ground!$A$2,Volume!Q341+1,1)</f>
        <v>623.220014</v>
      </c>
      <c r="V341" s="26"/>
      <c r="W341">
        <f t="shared" si="89"/>
        <v>-45.71387810277279</v>
      </c>
      <c r="X341">
        <f>IF(Volume!W341&lt;'Temp Calcs'!$E$8,1,0)</f>
        <v>1</v>
      </c>
      <c r="Z341">
        <f t="shared" si="90"/>
        <v>45.20482432014693</v>
      </c>
      <c r="AA341">
        <f>IF(Volume!Z341&gt;'Temp Calcs'!$L$8,1,0)</f>
        <v>1</v>
      </c>
      <c r="AB341" s="6"/>
      <c r="AC341" s="5"/>
    </row>
    <row r="342" spans="1:29" ht="12.75">
      <c r="A342" s="1">
        <v>341</v>
      </c>
      <c r="B342" s="1"/>
      <c r="C342" s="31">
        <f t="shared" si="86"/>
        <v>7218.800000000003</v>
      </c>
      <c r="D342" s="8">
        <f t="shared" si="87"/>
        <v>623.2578330849478</v>
      </c>
      <c r="E342" s="7">
        <f t="shared" si="88"/>
        <v>0.5469448584202791</v>
      </c>
      <c r="F342" s="5"/>
      <c r="G342">
        <f t="shared" si="81"/>
        <v>622.9722333466667</v>
      </c>
      <c r="H342" s="8">
        <f t="shared" si="82"/>
        <v>0.28559973828112106</v>
      </c>
      <c r="I342" s="30">
        <f>IF(H342&lt;1,(Data!$G$16+14+0.8*Data!$G$17+Data!$G$18*(1-H342))*(1-H342),(Data!$G$16+6+Data!$G$17*(H342-0.6))*(H342-0.6))</f>
        <v>20.45242258664151</v>
      </c>
      <c r="J342" s="28">
        <f t="shared" si="80"/>
        <v>160.87943690601085</v>
      </c>
      <c r="K342" t="str">
        <f t="shared" si="83"/>
        <v>Cut</v>
      </c>
      <c r="L342" s="28">
        <f t="shared" si="84"/>
        <v>160.87943690601085</v>
      </c>
      <c r="M342" s="28">
        <f t="shared" si="85"/>
        <v>0</v>
      </c>
      <c r="N342" s="28">
        <f>SUM($L$3:L342)</f>
        <v>77422.50106811538</v>
      </c>
      <c r="O342" s="28">
        <f>SUM($M$3:M342)</f>
        <v>79470.022047077</v>
      </c>
      <c r="Q342">
        <f>MATCH(C342,Ground!$A$3:$A$1999,1)</f>
        <v>108</v>
      </c>
      <c r="R342">
        <f ca="1">OFFSET(Ground!$A$2,Volume!Q342,0)</f>
        <v>7210</v>
      </c>
      <c r="S342">
        <f ca="1">OFFSET(Ground!$A$2,Volume!Q342,1)</f>
        <v>622.869381</v>
      </c>
      <c r="T342">
        <f ca="1">OFFSET(Ground!$A$2,Volume!Q342+1,0)</f>
        <v>7240</v>
      </c>
      <c r="U342">
        <f ca="1">OFFSET(Ground!$A$2,Volume!Q342+1,1)</f>
        <v>623.220014</v>
      </c>
      <c r="V342" s="26"/>
      <c r="W342">
        <f t="shared" si="89"/>
        <v>-45.97331161138572</v>
      </c>
      <c r="X342">
        <f>IF(Volume!W342&lt;'Temp Calcs'!$E$8,1,0)</f>
        <v>1</v>
      </c>
      <c r="Z342">
        <f t="shared" si="90"/>
        <v>45.46522096831788</v>
      </c>
      <c r="AA342">
        <f>IF(Volume!Z342&gt;'Temp Calcs'!$L$8,1,0)</f>
        <v>1</v>
      </c>
      <c r="AB342" s="6"/>
      <c r="AC342" s="5"/>
    </row>
    <row r="343" spans="1:29" ht="12.75">
      <c r="A343" s="1">
        <v>342</v>
      </c>
      <c r="B343" s="1"/>
      <c r="C343" s="31">
        <f t="shared" si="86"/>
        <v>7226.970000000003</v>
      </c>
      <c r="D343" s="8">
        <f t="shared" si="87"/>
        <v>623.3025184798807</v>
      </c>
      <c r="E343" s="7">
        <f t="shared" si="88"/>
        <v>0.5469448584202791</v>
      </c>
      <c r="F343" s="5"/>
      <c r="G343">
        <f t="shared" si="81"/>
        <v>623.0677224003333</v>
      </c>
      <c r="H343" s="8">
        <f t="shared" si="82"/>
        <v>0.23479607954743642</v>
      </c>
      <c r="I343" s="30">
        <f>IF(H343&lt;1,(Data!$G$16+14+0.8*Data!$G$17+Data!$G$18*(1-H343))*(1-H343),(Data!$G$16+6+Data!$G$17*(H343-0.6))*(H343-0.6))</f>
        <v>21.984620716061674</v>
      </c>
      <c r="J343" s="28">
        <f t="shared" si="80"/>
        <v>173.35532189154407</v>
      </c>
      <c r="K343" t="str">
        <f t="shared" si="83"/>
        <v>Cut</v>
      </c>
      <c r="L343" s="28">
        <f t="shared" si="84"/>
        <v>173.35532189154407</v>
      </c>
      <c r="M343" s="28">
        <f t="shared" si="85"/>
        <v>0</v>
      </c>
      <c r="N343" s="28">
        <f>SUM($L$3:L343)</f>
        <v>77595.85639000693</v>
      </c>
      <c r="O343" s="28">
        <f>SUM($M$3:M343)</f>
        <v>79470.022047077</v>
      </c>
      <c r="Q343">
        <f>MATCH(C343,Ground!$A$3:$A$1999,1)</f>
        <v>108</v>
      </c>
      <c r="R343">
        <f ca="1">OFFSET(Ground!$A$2,Volume!Q343,0)</f>
        <v>7210</v>
      </c>
      <c r="S343">
        <f ca="1">OFFSET(Ground!$A$2,Volume!Q343,1)</f>
        <v>622.869381</v>
      </c>
      <c r="T343">
        <f ca="1">OFFSET(Ground!$A$2,Volume!Q343+1,0)</f>
        <v>7240</v>
      </c>
      <c r="U343">
        <f ca="1">OFFSET(Ground!$A$2,Volume!Q343+1,1)</f>
        <v>623.220014</v>
      </c>
      <c r="V343" s="26"/>
      <c r="W343">
        <f t="shared" si="89"/>
        <v>-46.231765267511605</v>
      </c>
      <c r="X343">
        <f>IF(Volume!W343&lt;'Temp Calcs'!$E$8,1,0)</f>
        <v>1</v>
      </c>
      <c r="Z343">
        <f t="shared" si="90"/>
        <v>45.72463412632715</v>
      </c>
      <c r="AA343">
        <f>IF(Volume!Z343&gt;'Temp Calcs'!$L$8,1,0)</f>
        <v>1</v>
      </c>
      <c r="AB343" s="6"/>
      <c r="AC343" s="5"/>
    </row>
    <row r="344" spans="1:29" ht="12.75">
      <c r="A344" s="1">
        <v>343</v>
      </c>
      <c r="B344" s="1"/>
      <c r="C344" s="31">
        <f t="shared" si="86"/>
        <v>7235.140000000003</v>
      </c>
      <c r="D344" s="8">
        <f t="shared" si="87"/>
        <v>623.3472038748138</v>
      </c>
      <c r="E344" s="7">
        <f t="shared" si="88"/>
        <v>0.5469448584202791</v>
      </c>
      <c r="F344" s="5"/>
      <c r="G344">
        <f t="shared" si="81"/>
        <v>623.163211454</v>
      </c>
      <c r="H344" s="8">
        <f t="shared" si="82"/>
        <v>0.18399242081375178</v>
      </c>
      <c r="I344" s="30">
        <f>IF(H344&lt;1,(Data!$G$16+14+0.8*Data!$G$17+Data!$G$18*(1-H344))*(1-H344),(Data!$G$16+6+Data!$G$17*(H344-0.6))*(H344-0.6))</f>
        <v>23.527142892444754</v>
      </c>
      <c r="J344" s="28">
        <f t="shared" si="80"/>
        <v>185.91555434075042</v>
      </c>
      <c r="K344" t="str">
        <f t="shared" si="83"/>
        <v>Cut</v>
      </c>
      <c r="L344" s="28">
        <f t="shared" si="84"/>
        <v>185.91555434075042</v>
      </c>
      <c r="M344" s="28">
        <f t="shared" si="85"/>
        <v>0</v>
      </c>
      <c r="N344" s="28">
        <f>SUM($L$3:L344)</f>
        <v>77781.77194434768</v>
      </c>
      <c r="O344" s="28">
        <f>SUM($M$3:M344)</f>
        <v>79470.022047077</v>
      </c>
      <c r="Q344">
        <f>MATCH(C344,Ground!$A$3:$A$1999,1)</f>
        <v>108</v>
      </c>
      <c r="R344">
        <f ca="1">OFFSET(Ground!$A$2,Volume!Q344,0)</f>
        <v>7210</v>
      </c>
      <c r="S344">
        <f ca="1">OFFSET(Ground!$A$2,Volume!Q344,1)</f>
        <v>622.869381</v>
      </c>
      <c r="T344">
        <f ca="1">OFFSET(Ground!$A$2,Volume!Q344+1,0)</f>
        <v>7240</v>
      </c>
      <c r="U344">
        <f ca="1">OFFSET(Ground!$A$2,Volume!Q344+1,1)</f>
        <v>623.220014</v>
      </c>
      <c r="V344" s="26"/>
      <c r="W344">
        <f t="shared" si="89"/>
        <v>-46.48924461188318</v>
      </c>
      <c r="X344">
        <f>IF(Volume!W344&lt;'Temp Calcs'!$E$8,1,0)</f>
        <v>1</v>
      </c>
      <c r="Z344">
        <f t="shared" si="90"/>
        <v>45.98306935547731</v>
      </c>
      <c r="AA344">
        <f>IF(Volume!Z344&gt;'Temp Calcs'!$L$8,1,0)</f>
        <v>1</v>
      </c>
      <c r="AB344" s="6"/>
      <c r="AC344" s="5"/>
    </row>
    <row r="345" spans="1:29" ht="12.75">
      <c r="A345" s="1">
        <v>344</v>
      </c>
      <c r="B345" s="1"/>
      <c r="C345" s="31">
        <f t="shared" si="86"/>
        <v>7243.310000000003</v>
      </c>
      <c r="D345" s="8">
        <f t="shared" si="87"/>
        <v>623.3918892697467</v>
      </c>
      <c r="E345" s="7">
        <f t="shared" si="88"/>
        <v>0.5469448584202791</v>
      </c>
      <c r="F345" s="5"/>
      <c r="G345">
        <f t="shared" si="81"/>
        <v>623.247004733</v>
      </c>
      <c r="H345" s="8">
        <f t="shared" si="82"/>
        <v>0.1448845367466447</v>
      </c>
      <c r="I345" s="30">
        <f>IF(H345&lt;1,(Data!$G$16+14+0.8*Data!$G$17+Data!$G$18*(1-H345))*(1-H345),(Data!$G$16+6+Data!$G$17*(H345-0.6))*(H345-0.6))</f>
        <v>24.721585511481265</v>
      </c>
      <c r="J345" s="28">
        <f t="shared" si="80"/>
        <v>197.09605553003956</v>
      </c>
      <c r="K345" t="str">
        <f t="shared" si="83"/>
        <v>Cut</v>
      </c>
      <c r="L345" s="28">
        <f t="shared" si="84"/>
        <v>197.09605553003956</v>
      </c>
      <c r="M345" s="28">
        <f t="shared" si="85"/>
        <v>0</v>
      </c>
      <c r="N345" s="28">
        <f>SUM($L$3:L345)</f>
        <v>77978.86799987772</v>
      </c>
      <c r="O345" s="28">
        <f>SUM($M$3:M345)</f>
        <v>79470.022047077</v>
      </c>
      <c r="Q345">
        <f>MATCH(C345,Ground!$A$3:$A$1999,1)</f>
        <v>109</v>
      </c>
      <c r="R345">
        <f ca="1">OFFSET(Ground!$A$2,Volume!Q345,0)</f>
        <v>7240</v>
      </c>
      <c r="S345">
        <f ca="1">OFFSET(Ground!$A$2,Volume!Q345,1)</f>
        <v>623.220014</v>
      </c>
      <c r="T345">
        <f ca="1">OFFSET(Ground!$A$2,Volume!Q345+1,0)</f>
        <v>7270</v>
      </c>
      <c r="U345">
        <f ca="1">OFFSET(Ground!$A$2,Volume!Q345+1,1)</f>
        <v>623.464643</v>
      </c>
      <c r="V345" s="26"/>
      <c r="W345">
        <f t="shared" si="89"/>
        <v>-46.74575514353784</v>
      </c>
      <c r="X345">
        <f>IF(Volume!W345&lt;'Temp Calcs'!$E$8,1,0)</f>
        <v>1</v>
      </c>
      <c r="Z345">
        <f t="shared" si="90"/>
        <v>46.24053217522076</v>
      </c>
      <c r="AA345">
        <f>IF(Volume!Z345&gt;'Temp Calcs'!$L$8,1,0)</f>
        <v>1</v>
      </c>
      <c r="AB345" s="6"/>
      <c r="AC345" s="5"/>
    </row>
    <row r="346" spans="1:29" ht="12.75">
      <c r="A346" s="1">
        <v>345</v>
      </c>
      <c r="B346" s="1"/>
      <c r="C346" s="31">
        <f t="shared" si="86"/>
        <v>7251.480000000003</v>
      </c>
      <c r="D346" s="8">
        <f t="shared" si="87"/>
        <v>623.4365746646796</v>
      </c>
      <c r="E346" s="7">
        <f t="shared" si="88"/>
        <v>0.5469448584202791</v>
      </c>
      <c r="F346" s="5"/>
      <c r="G346">
        <f t="shared" si="81"/>
        <v>623.313625364</v>
      </c>
      <c r="H346" s="8">
        <f t="shared" si="82"/>
        <v>0.12294930067957921</v>
      </c>
      <c r="I346" s="30">
        <f>IF(H346&lt;1,(Data!$G$16+14+0.8*Data!$G$17+Data!$G$18*(1-H346))*(1-H346),(Data!$G$16+6+Data!$G$17*(H346-0.6))*(H346-0.6))</f>
        <v>25.394214879872322</v>
      </c>
      <c r="J346" s="28">
        <f t="shared" si="80"/>
        <v>204.72304459868124</v>
      </c>
      <c r="K346" t="str">
        <f t="shared" si="83"/>
        <v>Cut</v>
      </c>
      <c r="L346" s="28">
        <f t="shared" si="84"/>
        <v>204.72304459868124</v>
      </c>
      <c r="M346" s="28">
        <f t="shared" si="85"/>
        <v>0</v>
      </c>
      <c r="N346" s="28">
        <f>SUM($L$3:L346)</f>
        <v>78183.5910444764</v>
      </c>
      <c r="O346" s="28">
        <f>SUM($M$3:M346)</f>
        <v>79470.022047077</v>
      </c>
      <c r="Q346">
        <f>MATCH(C346,Ground!$A$3:$A$1999,1)</f>
        <v>109</v>
      </c>
      <c r="R346">
        <f ca="1">OFFSET(Ground!$A$2,Volume!Q346,0)</f>
        <v>7240</v>
      </c>
      <c r="S346">
        <f ca="1">OFFSET(Ground!$A$2,Volume!Q346,1)</f>
        <v>623.220014</v>
      </c>
      <c r="T346">
        <f ca="1">OFFSET(Ground!$A$2,Volume!Q346+1,0)</f>
        <v>7270</v>
      </c>
      <c r="U346">
        <f ca="1">OFFSET(Ground!$A$2,Volume!Q346+1,1)</f>
        <v>623.464643</v>
      </c>
      <c r="V346" s="26"/>
      <c r="W346">
        <f t="shared" si="89"/>
        <v>-47.00130232020776</v>
      </c>
      <c r="X346">
        <f>IF(Volume!W346&lt;'Temp Calcs'!$E$8,1,0)</f>
        <v>1</v>
      </c>
      <c r="Z346">
        <f t="shared" si="90"/>
        <v>46.497028063551355</v>
      </c>
      <c r="AA346">
        <f>IF(Volume!Z346&gt;'Temp Calcs'!$L$8,1,0)</f>
        <v>1</v>
      </c>
      <c r="AB346" s="6"/>
      <c r="AC346" s="5"/>
    </row>
    <row r="347" spans="1:29" ht="12.75">
      <c r="A347" s="1">
        <v>346</v>
      </c>
      <c r="B347" s="1"/>
      <c r="C347" s="31">
        <f t="shared" si="86"/>
        <v>7259.650000000003</v>
      </c>
      <c r="D347" s="8">
        <f t="shared" si="87"/>
        <v>623.4812600596125</v>
      </c>
      <c r="E347" s="7">
        <f t="shared" si="88"/>
        <v>0.5469448584202791</v>
      </c>
      <c r="F347" s="5"/>
      <c r="G347">
        <f t="shared" si="81"/>
        <v>623.380245995</v>
      </c>
      <c r="H347" s="8">
        <f t="shared" si="82"/>
        <v>0.10101406461251372</v>
      </c>
      <c r="I347" s="30">
        <f>IF(H347&lt;1,(Data!$G$16+14+0.8*Data!$G$17+Data!$G$18*(1-H347))*(1-H347),(Data!$G$16+6+Data!$G$17*(H347-0.6))*(H347-0.6))</f>
        <v>26.068768866588652</v>
      </c>
      <c r="J347" s="28">
        <f t="shared" si="80"/>
        <v>210.22628860429498</v>
      </c>
      <c r="K347" t="str">
        <f t="shared" si="83"/>
        <v>Cut</v>
      </c>
      <c r="L347" s="28">
        <f t="shared" si="84"/>
        <v>210.22628860429498</v>
      </c>
      <c r="M347" s="28">
        <f t="shared" si="85"/>
        <v>0</v>
      </c>
      <c r="N347" s="28">
        <f>SUM($L$3:L347)</f>
        <v>78393.81733308069</v>
      </c>
      <c r="O347" s="28">
        <f>SUM($M$3:M347)</f>
        <v>79470.022047077</v>
      </c>
      <c r="Q347">
        <f>MATCH(C347,Ground!$A$3:$A$1999,1)</f>
        <v>109</v>
      </c>
      <c r="R347">
        <f ca="1">OFFSET(Ground!$A$2,Volume!Q347,0)</f>
        <v>7240</v>
      </c>
      <c r="S347">
        <f ca="1">OFFSET(Ground!$A$2,Volume!Q347,1)</f>
        <v>623.220014</v>
      </c>
      <c r="T347">
        <f ca="1">OFFSET(Ground!$A$2,Volume!Q347+1,0)</f>
        <v>7270</v>
      </c>
      <c r="U347">
        <f ca="1">OFFSET(Ground!$A$2,Volume!Q347+1,1)</f>
        <v>623.464643</v>
      </c>
      <c r="V347" s="26"/>
      <c r="W347">
        <f t="shared" si="89"/>
        <v>-47.255891558707894</v>
      </c>
      <c r="X347">
        <f>IF(Volume!W347&lt;'Temp Calcs'!$E$8,1,0)</f>
        <v>1</v>
      </c>
      <c r="Z347">
        <f t="shared" si="90"/>
        <v>46.752562457393815</v>
      </c>
      <c r="AA347">
        <f>IF(Volume!Z347&gt;'Temp Calcs'!$L$8,1,0)</f>
        <v>1</v>
      </c>
      <c r="AB347" s="6"/>
      <c r="AC347" s="5"/>
    </row>
    <row r="348" spans="1:29" ht="12.75">
      <c r="A348" s="1">
        <v>347</v>
      </c>
      <c r="B348" s="1"/>
      <c r="C348" s="31">
        <f t="shared" si="86"/>
        <v>7267.820000000003</v>
      </c>
      <c r="D348" s="8">
        <f t="shared" si="87"/>
        <v>623.5259454545454</v>
      </c>
      <c r="E348" s="7">
        <f t="shared" si="88"/>
        <v>0.5469448584202791</v>
      </c>
      <c r="F348" s="5"/>
      <c r="G348">
        <f t="shared" si="81"/>
        <v>623.4468666260001</v>
      </c>
      <c r="H348" s="8">
        <f t="shared" si="82"/>
        <v>0.07907882854533455</v>
      </c>
      <c r="I348" s="30">
        <f>IF(H348&lt;1,(Data!$G$16+14+0.8*Data!$G$17+Data!$G$18*(1-H348))*(1-H348),(Data!$G$16+6+Data!$G$17*(H348-0.6))*(H348-0.6))</f>
        <v>26.745247471633768</v>
      </c>
      <c r="J348" s="28">
        <f t="shared" si="80"/>
        <v>215.7452567416405</v>
      </c>
      <c r="K348" t="str">
        <f t="shared" si="83"/>
        <v>Cut</v>
      </c>
      <c r="L348" s="28">
        <f t="shared" si="84"/>
        <v>215.7452567416405</v>
      </c>
      <c r="M348" s="28">
        <f t="shared" si="85"/>
        <v>0</v>
      </c>
      <c r="N348" s="28">
        <f>SUM($L$3:L348)</f>
        <v>78609.56258982234</v>
      </c>
      <c r="O348" s="28">
        <f>SUM($M$3:M348)</f>
        <v>79470.022047077</v>
      </c>
      <c r="Q348">
        <f>MATCH(C348,Ground!$A$3:$A$1999,1)</f>
        <v>109</v>
      </c>
      <c r="R348">
        <f ca="1">OFFSET(Ground!$A$2,Volume!Q348,0)</f>
        <v>7240</v>
      </c>
      <c r="S348">
        <f ca="1">OFFSET(Ground!$A$2,Volume!Q348,1)</f>
        <v>623.220014</v>
      </c>
      <c r="T348">
        <f ca="1">OFFSET(Ground!$A$2,Volume!Q348+1,0)</f>
        <v>7270</v>
      </c>
      <c r="U348">
        <f ca="1">OFFSET(Ground!$A$2,Volume!Q348+1,1)</f>
        <v>623.464643</v>
      </c>
      <c r="V348" s="26"/>
      <c r="W348">
        <f t="shared" si="89"/>
        <v>-47.50952823531846</v>
      </c>
      <c r="X348">
        <f>IF(Volume!W348&lt;'Temp Calcs'!$E$8,1,0)</f>
        <v>1</v>
      </c>
      <c r="Z348">
        <f t="shared" si="90"/>
        <v>47.00714075298766</v>
      </c>
      <c r="AA348">
        <f>IF(Volume!Z348&gt;'Temp Calcs'!$L$8,1,0)</f>
        <v>1</v>
      </c>
      <c r="AB348" s="6"/>
      <c r="AC348" s="5"/>
    </row>
    <row r="349" spans="1:29" ht="12.75">
      <c r="A349" s="1">
        <v>348</v>
      </c>
      <c r="B349" s="1"/>
      <c r="C349" s="31">
        <f t="shared" si="86"/>
        <v>7275.990000000003</v>
      </c>
      <c r="D349" s="8">
        <f t="shared" si="87"/>
        <v>623.5706308494784</v>
      </c>
      <c r="E349" s="7">
        <f t="shared" si="88"/>
        <v>0.5469448584202791</v>
      </c>
      <c r="F349" s="5"/>
      <c r="G349">
        <f t="shared" si="81"/>
        <v>623.5083444426667</v>
      </c>
      <c r="H349" s="8">
        <f t="shared" si="82"/>
        <v>0.06228640681172237</v>
      </c>
      <c r="I349" s="30">
        <f>IF(H349&lt;1,(Data!$G$16+14+0.8*Data!$G$17+Data!$G$18*(1-H349))*(1-H349),(Data!$G$16+6+Data!$G$17*(H349-0.6))*(H349-0.6))</f>
        <v>27.264423300421292</v>
      </c>
      <c r="J349" s="28">
        <f t="shared" si="80"/>
        <v>220.6295051038469</v>
      </c>
      <c r="K349" t="str">
        <f t="shared" si="83"/>
        <v>Cut</v>
      </c>
      <c r="L349" s="28">
        <f t="shared" si="84"/>
        <v>220.6295051038469</v>
      </c>
      <c r="M349" s="28">
        <f t="shared" si="85"/>
        <v>0</v>
      </c>
      <c r="N349" s="28">
        <f>SUM($L$3:L349)</f>
        <v>78830.19209492618</v>
      </c>
      <c r="O349" s="28">
        <f>SUM($M$3:M349)</f>
        <v>79470.022047077</v>
      </c>
      <c r="Q349">
        <f>MATCH(C349,Ground!$A$3:$A$1999,1)</f>
        <v>110</v>
      </c>
      <c r="R349">
        <f ca="1">OFFSET(Ground!$A$2,Volume!Q349,0)</f>
        <v>7270</v>
      </c>
      <c r="S349">
        <f ca="1">OFFSET(Ground!$A$2,Volume!Q349,1)</f>
        <v>623.464643</v>
      </c>
      <c r="T349">
        <f ca="1">OFFSET(Ground!$A$2,Volume!Q349+1,0)</f>
        <v>7300</v>
      </c>
      <c r="U349">
        <f ca="1">OFFSET(Ground!$A$2,Volume!Q349+1,1)</f>
        <v>623.683515</v>
      </c>
      <c r="V349" s="26"/>
      <c r="W349">
        <f t="shared" si="89"/>
        <v>-47.76221768616321</v>
      </c>
      <c r="X349">
        <f>IF(Volume!W349&lt;'Temp Calcs'!$E$8,1,0)</f>
        <v>1</v>
      </c>
      <c r="Z349">
        <f t="shared" si="90"/>
        <v>47.26076830626684</v>
      </c>
      <c r="AA349">
        <f>IF(Volume!Z349&gt;'Temp Calcs'!$L$8,1,0)</f>
        <v>1</v>
      </c>
      <c r="AB349" s="6"/>
      <c r="AC349" s="5"/>
    </row>
    <row r="350" spans="1:29" ht="12.75">
      <c r="A350" s="1">
        <v>349</v>
      </c>
      <c r="B350" s="1"/>
      <c r="C350" s="31">
        <f t="shared" si="86"/>
        <v>7284.1600000000035</v>
      </c>
      <c r="D350" s="8">
        <f t="shared" si="87"/>
        <v>623.6153162444114</v>
      </c>
      <c r="E350" s="7">
        <f t="shared" si="88"/>
        <v>0.5469448584202791</v>
      </c>
      <c r="F350" s="5"/>
      <c r="G350">
        <f t="shared" si="81"/>
        <v>623.5679505840001</v>
      </c>
      <c r="H350" s="8">
        <f t="shared" si="82"/>
        <v>0.047365660411287536</v>
      </c>
      <c r="I350" s="30">
        <f>IF(H350&lt;1,(Data!$G$16+14+0.8*Data!$G$17+Data!$G$18*(1-H350))*(1-H350),(Data!$G$16+6+Data!$G$17*(H350-0.6))*(H350-0.6))</f>
        <v>27.726678406740223</v>
      </c>
      <c r="J350" s="28">
        <f t="shared" si="80"/>
        <v>224.6386504737568</v>
      </c>
      <c r="K350" t="str">
        <f t="shared" si="83"/>
        <v>Cut</v>
      </c>
      <c r="L350" s="28">
        <f t="shared" si="84"/>
        <v>224.6386504737568</v>
      </c>
      <c r="M350" s="28">
        <f t="shared" si="85"/>
        <v>0</v>
      </c>
      <c r="N350" s="28">
        <f>SUM($L$3:L350)</f>
        <v>79054.83074539994</v>
      </c>
      <c r="O350" s="28">
        <f>SUM($M$3:M350)</f>
        <v>79470.022047077</v>
      </c>
      <c r="Q350">
        <f>MATCH(C350,Ground!$A$3:$A$1999,1)</f>
        <v>110</v>
      </c>
      <c r="R350">
        <f ca="1">OFFSET(Ground!$A$2,Volume!Q350,0)</f>
        <v>7270</v>
      </c>
      <c r="S350">
        <f ca="1">OFFSET(Ground!$A$2,Volume!Q350,1)</f>
        <v>623.464643</v>
      </c>
      <c r="T350">
        <f ca="1">OFFSET(Ground!$A$2,Volume!Q350+1,0)</f>
        <v>7300</v>
      </c>
      <c r="U350">
        <f ca="1">OFFSET(Ground!$A$2,Volume!Q350+1,1)</f>
        <v>623.683515</v>
      </c>
      <c r="V350" s="26"/>
      <c r="W350">
        <f t="shared" si="89"/>
        <v>-48.013965207584505</v>
      </c>
      <c r="X350">
        <f>IF(Volume!W350&lt;'Temp Calcs'!$E$8,1,0)</f>
        <v>1</v>
      </c>
      <c r="Z350">
        <f t="shared" si="90"/>
        <v>47.51345043323623</v>
      </c>
      <c r="AA350">
        <f>IF(Volume!Z350&gt;'Temp Calcs'!$L$8,1,0)</f>
        <v>1</v>
      </c>
      <c r="AB350" s="6"/>
      <c r="AC350" s="5"/>
    </row>
    <row r="351" spans="1:29" ht="12.75">
      <c r="A351" s="1">
        <v>350</v>
      </c>
      <c r="B351" s="1"/>
      <c r="C351" s="31">
        <f t="shared" si="86"/>
        <v>7292.330000000004</v>
      </c>
      <c r="D351" s="8">
        <f t="shared" si="87"/>
        <v>623.6600016393443</v>
      </c>
      <c r="E351" s="7">
        <f t="shared" si="88"/>
        <v>0.5469448584202791</v>
      </c>
      <c r="F351" s="5"/>
      <c r="G351">
        <f t="shared" si="81"/>
        <v>623.6275567253334</v>
      </c>
      <c r="H351" s="8">
        <f t="shared" si="82"/>
        <v>0.0324449140108527</v>
      </c>
      <c r="I351" s="30">
        <f>IF(H351&lt;1,(Data!$G$16+14+0.8*Data!$G$17+Data!$G$18*(1-H351))*(1-H351),(Data!$G$16+6+Data!$G$17*(H351-0.6))*(H351-0.6))</f>
        <v>28.189824027751737</v>
      </c>
      <c r="J351" s="28">
        <f t="shared" si="80"/>
        <v>228.41891244490168</v>
      </c>
      <c r="K351" t="str">
        <f t="shared" si="83"/>
        <v>Cut</v>
      </c>
      <c r="L351" s="28">
        <f t="shared" si="84"/>
        <v>228.41891244490168</v>
      </c>
      <c r="M351" s="28">
        <f t="shared" si="85"/>
        <v>0</v>
      </c>
      <c r="N351" s="28">
        <f>SUM($L$3:L351)</f>
        <v>79283.24965784485</v>
      </c>
      <c r="O351" s="28">
        <f>SUM($M$3:M351)</f>
        <v>79470.022047077</v>
      </c>
      <c r="Q351">
        <f>MATCH(C351,Ground!$A$3:$A$1999,1)</f>
        <v>110</v>
      </c>
      <c r="R351">
        <f ca="1">OFFSET(Ground!$A$2,Volume!Q351,0)</f>
        <v>7270</v>
      </c>
      <c r="S351">
        <f ca="1">OFFSET(Ground!$A$2,Volume!Q351,1)</f>
        <v>623.464643</v>
      </c>
      <c r="T351">
        <f ca="1">OFFSET(Ground!$A$2,Volume!Q351+1,0)</f>
        <v>7300</v>
      </c>
      <c r="U351">
        <f ca="1">OFFSET(Ground!$A$2,Volume!Q351+1,1)</f>
        <v>623.683515</v>
      </c>
      <c r="V351" s="26"/>
      <c r="W351">
        <f t="shared" si="89"/>
        <v>-48.26477605651201</v>
      </c>
      <c r="X351">
        <f>IF(Volume!W351&lt;'Temp Calcs'!$E$8,1,0)</f>
        <v>1</v>
      </c>
      <c r="Z351">
        <f t="shared" si="90"/>
        <v>47.76519241034172</v>
      </c>
      <c r="AA351">
        <f>IF(Volume!Z351&gt;'Temp Calcs'!$L$8,1,0)</f>
        <v>1</v>
      </c>
      <c r="AB351" s="6"/>
      <c r="AC351" s="5"/>
    </row>
    <row r="352" spans="1:29" ht="12.75">
      <c r="A352" s="1">
        <v>351</v>
      </c>
      <c r="B352" s="1" t="s">
        <v>21</v>
      </c>
      <c r="C352" s="5">
        <f>Data!C7-Data!F7/2</f>
        <v>7300.5</v>
      </c>
      <c r="D352" s="6">
        <f>Data!D7-Data!E6/100*Data!F7/2</f>
        <v>623.7046870342772</v>
      </c>
      <c r="E352" s="5">
        <f>Data!E6</f>
        <v>0.5469448584202791</v>
      </c>
      <c r="F352" s="5"/>
      <c r="G352">
        <f aca="true" t="shared" si="91" ref="G352:G371">S352+(U352-S352)*(C352-R352)/(T352-R352)</f>
        <v>623.6854479833333</v>
      </c>
      <c r="H352" s="8">
        <f aca="true" t="shared" si="92" ref="H352:H371">D352-G352</f>
        <v>0.019239050943838265</v>
      </c>
      <c r="I352" s="30">
        <f>IF(H352&lt;1,(Data!$G$16+14+0.8*Data!$G$17+Data!$G$18*(1-H352))*(1-H352),(Data!$G$16+6+Data!$G$17*(H352-0.6))*(H352-0.6))</f>
        <v>28.600481892714683</v>
      </c>
      <c r="J352" s="28">
        <f t="shared" si="80"/>
        <v>231.9883996850041</v>
      </c>
      <c r="K352" t="str">
        <f aca="true" t="shared" si="93" ref="K352:K371">IF(H352&lt;0.5,"Cut","Fill")</f>
        <v>Cut</v>
      </c>
      <c r="L352" s="28">
        <f aca="true" t="shared" si="94" ref="L352:L371">IF(K352="Cut",J352,0)</f>
        <v>231.9883996850041</v>
      </c>
      <c r="M352" s="28">
        <f aca="true" t="shared" si="95" ref="M352:M371">IF(K352="Fill",J352,0)</f>
        <v>0</v>
      </c>
      <c r="N352" s="28">
        <f>SUM($L$3:L352)</f>
        <v>79515.23805752986</v>
      </c>
      <c r="O352" s="28">
        <f>SUM($M$3:M352)</f>
        <v>79470.022047077</v>
      </c>
      <c r="Q352">
        <f>MATCH(C352,Ground!$A$3:$A$1999,1)</f>
        <v>111</v>
      </c>
      <c r="R352">
        <f ca="1">OFFSET(Ground!$A$2,Volume!Q352,0)</f>
        <v>7300</v>
      </c>
      <c r="S352">
        <f ca="1">OFFSET(Ground!$A$2,Volume!Q352,1)</f>
        <v>623.683515</v>
      </c>
      <c r="T352">
        <f ca="1">OFFSET(Ground!$A$2,Volume!Q352+1,0)</f>
        <v>7330</v>
      </c>
      <c r="U352">
        <f ca="1">OFFSET(Ground!$A$2,Volume!Q352+1,1)</f>
        <v>623.799494</v>
      </c>
      <c r="V352" s="26"/>
      <c r="W352">
        <f t="shared" si="89"/>
        <v>-48.514655450829395</v>
      </c>
      <c r="X352">
        <f>IF(Volume!W352&lt;'Temp Calcs'!$E$8,1,0)</f>
        <v>1</v>
      </c>
      <c r="Z352">
        <f t="shared" si="90"/>
        <v>48.0159994748382</v>
      </c>
      <c r="AA352">
        <f>IF(Volume!Z352&gt;'Temp Calcs'!$L$8,1,0)</f>
        <v>1</v>
      </c>
      <c r="AB352" s="6"/>
      <c r="AC352" s="5"/>
    </row>
    <row r="353" spans="1:29" ht="12.75">
      <c r="A353" s="1">
        <v>352</v>
      </c>
      <c r="C353" s="7">
        <f>C352+($C$402-$C$352)/50</f>
        <v>7305</v>
      </c>
      <c r="D353" s="8">
        <f aca="true" t="shared" si="96" ref="D353:D401">D$352+($E$402-$E$352)/100*(C353-$C$352)^2/2/($C$402-$C$352)+$E$352/100*(C353-$C$352)</f>
        <v>623.7281671620107</v>
      </c>
      <c r="E353" s="7">
        <f aca="true" t="shared" si="97" ref="E353:E371">$E$352+($E$402-$E$352)*(C353-$C$352)/($C$402-$C$352)</f>
        <v>0.49661637417826476</v>
      </c>
      <c r="F353" s="7"/>
      <c r="G353">
        <f t="shared" si="91"/>
        <v>623.7028448333334</v>
      </c>
      <c r="H353" s="8">
        <f t="shared" si="92"/>
        <v>0.02532232867724815</v>
      </c>
      <c r="I353" s="30">
        <f>IF(H353&lt;1,(Data!$G$16+14+0.8*Data!$G$17+Data!$G$18*(1-H353))*(1-H353),(Data!$G$16+6+Data!$G$17*(H353-0.6))*(H353-0.6))</f>
        <v>28.411225785929133</v>
      </c>
      <c r="J353" s="28">
        <f t="shared" si="80"/>
        <v>128.27634227694858</v>
      </c>
      <c r="K353" t="str">
        <f t="shared" si="93"/>
        <v>Cut</v>
      </c>
      <c r="L353" s="28">
        <f t="shared" si="94"/>
        <v>128.27634227694858</v>
      </c>
      <c r="M353" s="28">
        <f t="shared" si="95"/>
        <v>0</v>
      </c>
      <c r="N353" s="28">
        <f>SUM($L$3:L353)</f>
        <v>79643.51439980681</v>
      </c>
      <c r="O353" s="28">
        <f>SUM($M$3:M353)</f>
        <v>79470.022047077</v>
      </c>
      <c r="Q353">
        <f>MATCH(C353,Ground!$A$3:$A$1999,1)</f>
        <v>111</v>
      </c>
      <c r="R353">
        <f ca="1">OFFSET(Ground!$A$2,Volume!Q353,0)</f>
        <v>7300</v>
      </c>
      <c r="S353">
        <f ca="1">OFFSET(Ground!$A$2,Volume!Q353,1)</f>
        <v>623.683515</v>
      </c>
      <c r="T353">
        <f ca="1">OFFSET(Ground!$A$2,Volume!Q353+1,0)</f>
        <v>7330</v>
      </c>
      <c r="U353">
        <f ca="1">OFFSET(Ground!$A$2,Volume!Q353+1,1)</f>
        <v>623.799494</v>
      </c>
      <c r="V353" s="26"/>
      <c r="W353">
        <f t="shared" si="89"/>
        <v>-48.65417912942497</v>
      </c>
      <c r="X353">
        <f>IF(Volume!W353&lt;'Temp Calcs'!$E$8,1,0)</f>
        <v>1</v>
      </c>
      <c r="Z353">
        <f t="shared" si="90"/>
        <v>48.15600922221322</v>
      </c>
      <c r="AA353">
        <f>IF(Volume!Z353&gt;'Temp Calcs'!$L$8,1,0)</f>
        <v>1</v>
      </c>
      <c r="AB353" s="8"/>
      <c r="AC353" s="7"/>
    </row>
    <row r="354" spans="1:29" ht="12.75">
      <c r="A354" s="1">
        <v>353</v>
      </c>
      <c r="C354" s="7">
        <f aca="true" t="shared" si="98" ref="C354:C401">C353+($C$402-$C$352)/50</f>
        <v>7309.5</v>
      </c>
      <c r="D354" s="8">
        <f t="shared" si="96"/>
        <v>623.7493825079532</v>
      </c>
      <c r="E354" s="7">
        <f t="shared" si="97"/>
        <v>0.44628788993625046</v>
      </c>
      <c r="F354" s="7"/>
      <c r="G354">
        <f t="shared" si="91"/>
        <v>623.7202416833334</v>
      </c>
      <c r="H354" s="8">
        <f t="shared" si="92"/>
        <v>0.029140824619844352</v>
      </c>
      <c r="I354" s="30">
        <f>IF(H354&lt;1,(Data!$G$16+14+0.8*Data!$G$17+Data!$G$18*(1-H354))*(1-H354),(Data!$G$16+6+Data!$G$17*(H354-0.6))*(H354-0.6))</f>
        <v>28.292504647179904</v>
      </c>
      <c r="J354" s="28">
        <f t="shared" si="80"/>
        <v>127.58339347449534</v>
      </c>
      <c r="K354" t="str">
        <f t="shared" si="93"/>
        <v>Cut</v>
      </c>
      <c r="L354" s="28">
        <f t="shared" si="94"/>
        <v>127.58339347449534</v>
      </c>
      <c r="M354" s="28">
        <f t="shared" si="95"/>
        <v>0</v>
      </c>
      <c r="N354" s="28">
        <f>SUM($L$3:L354)</f>
        <v>79771.09779328131</v>
      </c>
      <c r="O354" s="28">
        <f>SUM($M$3:M354)</f>
        <v>79470.022047077</v>
      </c>
      <c r="Q354">
        <f>MATCH(C354,Ground!$A$3:$A$1999,1)</f>
        <v>111</v>
      </c>
      <c r="R354">
        <f ca="1">OFFSET(Ground!$A$2,Volume!Q354,0)</f>
        <v>7300</v>
      </c>
      <c r="S354">
        <f ca="1">OFFSET(Ground!$A$2,Volume!Q354,1)</f>
        <v>623.683515</v>
      </c>
      <c r="T354">
        <f ca="1">OFFSET(Ground!$A$2,Volume!Q354+1,0)</f>
        <v>7330</v>
      </c>
      <c r="U354">
        <f ca="1">OFFSET(Ground!$A$2,Volume!Q354+1,1)</f>
        <v>623.799494</v>
      </c>
      <c r="V354" s="26"/>
      <c r="W354">
        <f t="shared" si="89"/>
        <v>-48.798014615757914</v>
      </c>
      <c r="X354">
        <f>IF(Volume!W354&lt;'Temp Calcs'!$E$8,1,0)</f>
        <v>1</v>
      </c>
      <c r="Z354">
        <f t="shared" si="90"/>
        <v>48.300283079247535</v>
      </c>
      <c r="AA354">
        <f>IF(Volume!Z354&gt;'Temp Calcs'!$L$8,1,0)</f>
        <v>1</v>
      </c>
      <c r="AB354" s="8"/>
      <c r="AC354" s="7"/>
    </row>
    <row r="355" spans="1:29" ht="12.75">
      <c r="A355" s="1">
        <v>354</v>
      </c>
      <c r="C355" s="7">
        <f t="shared" si="98"/>
        <v>7314</v>
      </c>
      <c r="D355" s="8">
        <f t="shared" si="96"/>
        <v>623.7683330721048</v>
      </c>
      <c r="E355" s="7">
        <f t="shared" si="97"/>
        <v>0.39595940569423616</v>
      </c>
      <c r="F355" s="7"/>
      <c r="G355">
        <f t="shared" si="91"/>
        <v>623.7376385333333</v>
      </c>
      <c r="H355" s="8">
        <f t="shared" si="92"/>
        <v>0.03069453877151318</v>
      </c>
      <c r="I355" s="30">
        <f>IF(H355&lt;1,(Data!$G$16+14+0.8*Data!$G$17+Data!$G$18*(1-H355))*(1-H355),(Data!$G$16+6+Data!$G$17*(H355-0.6))*(H355-0.6))</f>
        <v>28.24421469974958</v>
      </c>
      <c r="J355" s="28">
        <f t="shared" si="80"/>
        <v>127.20761853059135</v>
      </c>
      <c r="K355" t="str">
        <f t="shared" si="93"/>
        <v>Cut</v>
      </c>
      <c r="L355" s="28">
        <f t="shared" si="94"/>
        <v>127.20761853059135</v>
      </c>
      <c r="M355" s="28">
        <f t="shared" si="95"/>
        <v>0</v>
      </c>
      <c r="N355" s="28">
        <f>SUM($L$3:L355)</f>
        <v>79898.3054118119</v>
      </c>
      <c r="O355" s="28">
        <f>SUM($M$3:M355)</f>
        <v>79470.022047077</v>
      </c>
      <c r="Q355">
        <f>MATCH(C355,Ground!$A$3:$A$1999,1)</f>
        <v>111</v>
      </c>
      <c r="R355">
        <f ca="1">OFFSET(Ground!$A$2,Volume!Q355,0)</f>
        <v>7300</v>
      </c>
      <c r="S355">
        <f ca="1">OFFSET(Ground!$A$2,Volume!Q355,1)</f>
        <v>623.683515</v>
      </c>
      <c r="T355">
        <f ca="1">OFFSET(Ground!$A$2,Volume!Q355+1,0)</f>
        <v>7330</v>
      </c>
      <c r="U355">
        <f ca="1">OFFSET(Ground!$A$2,Volume!Q355+1,1)</f>
        <v>623.799494</v>
      </c>
      <c r="V355" s="26"/>
      <c r="W355">
        <f t="shared" si="89"/>
        <v>-48.946191039005555</v>
      </c>
      <c r="X355">
        <f>IF(Volume!W355&lt;'Temp Calcs'!$E$8,1,0)</f>
        <v>1</v>
      </c>
      <c r="Z355">
        <f t="shared" si="90"/>
        <v>48.44885042437878</v>
      </c>
      <c r="AA355">
        <f>IF(Volume!Z355&gt;'Temp Calcs'!$L$8,1,0)</f>
        <v>1</v>
      </c>
      <c r="AB355" s="8"/>
      <c r="AC355" s="7"/>
    </row>
    <row r="356" spans="1:29" ht="12.75">
      <c r="A356" s="1">
        <v>355</v>
      </c>
      <c r="C356" s="7">
        <f t="shared" si="98"/>
        <v>7318.5</v>
      </c>
      <c r="D356" s="8">
        <f t="shared" si="96"/>
        <v>623.7850188544658</v>
      </c>
      <c r="E356" s="7">
        <f t="shared" si="97"/>
        <v>0.34563092145222185</v>
      </c>
      <c r="F356" s="7"/>
      <c r="G356">
        <f t="shared" si="91"/>
        <v>623.7550353833334</v>
      </c>
      <c r="H356" s="8">
        <f t="shared" si="92"/>
        <v>0.029983471132368322</v>
      </c>
      <c r="I356" s="30">
        <f>IF(H356&lt;1,(Data!$G$16+14+0.8*Data!$G$17+Data!$G$18*(1-H356))*(1-H356),(Data!$G$16+6+Data!$G$17*(H356-0.6))*(H356-0.6))</f>
        <v>28.2663137177524</v>
      </c>
      <c r="J356" s="28">
        <f aca="true" t="shared" si="99" ref="J356:J419">(I356+I355)/2*(C356-C355)</f>
        <v>127.14868893937945</v>
      </c>
      <c r="K356" t="str">
        <f t="shared" si="93"/>
        <v>Cut</v>
      </c>
      <c r="L356" s="28">
        <f t="shared" si="94"/>
        <v>127.14868893937945</v>
      </c>
      <c r="M356" s="28">
        <f t="shared" si="95"/>
        <v>0</v>
      </c>
      <c r="N356" s="28">
        <f>SUM($L$3:L356)</f>
        <v>80025.45410075129</v>
      </c>
      <c r="O356" s="28">
        <f>SUM($M$3:M356)</f>
        <v>79470.022047077</v>
      </c>
      <c r="Q356">
        <f>MATCH(C356,Ground!$A$3:$A$1999,1)</f>
        <v>111</v>
      </c>
      <c r="R356">
        <f ca="1">OFFSET(Ground!$A$2,Volume!Q356,0)</f>
        <v>7300</v>
      </c>
      <c r="S356">
        <f ca="1">OFFSET(Ground!$A$2,Volume!Q356,1)</f>
        <v>623.683515</v>
      </c>
      <c r="T356">
        <f ca="1">OFFSET(Ground!$A$2,Volume!Q356+1,0)</f>
        <v>7330</v>
      </c>
      <c r="U356">
        <f ca="1">OFFSET(Ground!$A$2,Volume!Q356+1,1)</f>
        <v>623.799494</v>
      </c>
      <c r="V356" s="26"/>
      <c r="W356">
        <f t="shared" si="89"/>
        <v>-49.09873987448702</v>
      </c>
      <c r="X356">
        <f>IF(Volume!W356&lt;'Temp Calcs'!$E$8,1,0)</f>
        <v>1</v>
      </c>
      <c r="Z356">
        <f t="shared" si="90"/>
        <v>48.60174295465316</v>
      </c>
      <c r="AA356">
        <f>IF(Volume!Z356&gt;'Temp Calcs'!$L$8,1,0)</f>
        <v>1</v>
      </c>
      <c r="AB356" s="8"/>
      <c r="AC356" s="7"/>
    </row>
    <row r="357" spans="1:29" ht="12.75">
      <c r="A357" s="1">
        <v>356</v>
      </c>
      <c r="C357" s="7">
        <f t="shared" si="98"/>
        <v>7323</v>
      </c>
      <c r="D357" s="8">
        <f t="shared" si="96"/>
        <v>623.7994398550356</v>
      </c>
      <c r="E357" s="7">
        <f t="shared" si="97"/>
        <v>0.2953024372102076</v>
      </c>
      <c r="F357" s="7"/>
      <c r="G357">
        <f t="shared" si="91"/>
        <v>623.7724322333333</v>
      </c>
      <c r="H357" s="8">
        <f t="shared" si="92"/>
        <v>0.027007621702296092</v>
      </c>
      <c r="I357" s="30">
        <f>IF(H357&lt;1,(Data!$G$16+14+0.8*Data!$G$17+Data!$G$18*(1-H357))*(1-H357),(Data!$G$16+6+Data!$G$17*(H357-0.6))*(H357-0.6))</f>
        <v>28.35882102614839</v>
      </c>
      <c r="J357" s="28">
        <f t="shared" si="99"/>
        <v>127.40655317377677</v>
      </c>
      <c r="K357" t="str">
        <f t="shared" si="93"/>
        <v>Cut</v>
      </c>
      <c r="L357" s="28">
        <f t="shared" si="94"/>
        <v>127.40655317377677</v>
      </c>
      <c r="M357" s="28">
        <f t="shared" si="95"/>
        <v>0</v>
      </c>
      <c r="N357" s="28">
        <f>SUM($L$3:L357)</f>
        <v>80152.86065392506</v>
      </c>
      <c r="O357" s="28">
        <f>SUM($M$3:M357)</f>
        <v>79470.022047077</v>
      </c>
      <c r="Q357">
        <f>MATCH(C357,Ground!$A$3:$A$1999,1)</f>
        <v>111</v>
      </c>
      <c r="R357">
        <f ca="1">OFFSET(Ground!$A$2,Volume!Q357,0)</f>
        <v>7300</v>
      </c>
      <c r="S357">
        <f ca="1">OFFSET(Ground!$A$2,Volume!Q357,1)</f>
        <v>623.683515</v>
      </c>
      <c r="T357">
        <f ca="1">OFFSET(Ground!$A$2,Volume!Q357+1,0)</f>
        <v>7330</v>
      </c>
      <c r="U357">
        <f ca="1">OFFSET(Ground!$A$2,Volume!Q357+1,1)</f>
        <v>623.799494</v>
      </c>
      <c r="V357" s="26"/>
      <c r="W357">
        <f t="shared" si="89"/>
        <v>-49.25569496396933</v>
      </c>
      <c r="X357">
        <f>IF(Volume!W357&lt;'Temp Calcs'!$E$8,1,0)</f>
        <v>1</v>
      </c>
      <c r="Z357">
        <f t="shared" si="90"/>
        <v>48.75899470634731</v>
      </c>
      <c r="AA357">
        <f>IF(Volume!Z357&gt;'Temp Calcs'!$L$8,1,0)</f>
        <v>1</v>
      </c>
      <c r="AB357" s="8"/>
      <c r="AC357" s="7"/>
    </row>
    <row r="358" spans="1:29" ht="12.75">
      <c r="A358" s="1">
        <v>357</v>
      </c>
      <c r="C358" s="7">
        <f t="shared" si="98"/>
        <v>7327.5</v>
      </c>
      <c r="D358" s="8">
        <f t="shared" si="96"/>
        <v>623.8115960738146</v>
      </c>
      <c r="E358" s="7">
        <f t="shared" si="97"/>
        <v>0.2449739529681933</v>
      </c>
      <c r="F358" s="7"/>
      <c r="G358">
        <f t="shared" si="91"/>
        <v>623.7898290833333</v>
      </c>
      <c r="H358" s="8">
        <f t="shared" si="92"/>
        <v>0.02176699048129649</v>
      </c>
      <c r="I358" s="30">
        <f>IF(H358&lt;1,(Data!$G$16+14+0.8*Data!$G$17+Data!$G$18*(1-H358))*(1-H358),(Data!$G$16+6+Data!$G$17*(H358-0.6))*(H358-0.6))</f>
        <v>28.521817500732773</v>
      </c>
      <c r="J358" s="28">
        <f t="shared" si="99"/>
        <v>127.98143668548262</v>
      </c>
      <c r="K358" t="str">
        <f t="shared" si="93"/>
        <v>Cut</v>
      </c>
      <c r="L358" s="28">
        <f t="shared" si="94"/>
        <v>127.98143668548262</v>
      </c>
      <c r="M358" s="28">
        <f t="shared" si="95"/>
        <v>0</v>
      </c>
      <c r="N358" s="28">
        <f>SUM($L$3:L358)</f>
        <v>80280.84209061055</v>
      </c>
      <c r="O358" s="28">
        <f>SUM($M$3:M358)</f>
        <v>79470.022047077</v>
      </c>
      <c r="Q358">
        <f>MATCH(C358,Ground!$A$3:$A$1999,1)</f>
        <v>111</v>
      </c>
      <c r="R358">
        <f ca="1">OFFSET(Ground!$A$2,Volume!Q358,0)</f>
        <v>7300</v>
      </c>
      <c r="S358">
        <f ca="1">OFFSET(Ground!$A$2,Volume!Q358,1)</f>
        <v>623.683515</v>
      </c>
      <c r="T358">
        <f ca="1">OFFSET(Ground!$A$2,Volume!Q358+1,0)</f>
        <v>7330</v>
      </c>
      <c r="U358">
        <f ca="1">OFFSET(Ground!$A$2,Volume!Q358+1,1)</f>
        <v>623.799494</v>
      </c>
      <c r="V358" s="26"/>
      <c r="W358">
        <f t="shared" si="89"/>
        <v>-49.41709253920578</v>
      </c>
      <c r="X358">
        <f>IF(Volume!W358&lt;'Temp Calcs'!$E$8,1,0)</f>
        <v>1</v>
      </c>
      <c r="Z358">
        <f t="shared" si="90"/>
        <v>48.92064207878295</v>
      </c>
      <c r="AA358">
        <f>IF(Volume!Z358&gt;'Temp Calcs'!$L$8,1,0)</f>
        <v>1</v>
      </c>
      <c r="AB358" s="8"/>
      <c r="AC358" s="7"/>
    </row>
    <row r="359" spans="1:29" ht="12.75">
      <c r="A359" s="1">
        <v>358</v>
      </c>
      <c r="C359" s="7">
        <f t="shared" si="98"/>
        <v>7332</v>
      </c>
      <c r="D359" s="8">
        <f t="shared" si="96"/>
        <v>623.8214875108027</v>
      </c>
      <c r="E359" s="7">
        <f t="shared" si="97"/>
        <v>0.194645468726179</v>
      </c>
      <c r="F359" s="7"/>
      <c r="G359">
        <f t="shared" si="91"/>
        <v>623.7966332666666</v>
      </c>
      <c r="H359" s="8">
        <f t="shared" si="92"/>
        <v>0.02485424413612236</v>
      </c>
      <c r="I359" s="30">
        <f>IF(H359&lt;1,(Data!$G$16+14+0.8*Data!$G$17+Data!$G$18*(1-H359))*(1-H359),(Data!$G$16+6+Data!$G$17*(H359-0.6))*(H359-0.6))</f>
        <v>28.425783049856136</v>
      </c>
      <c r="J359" s="28">
        <f t="shared" si="99"/>
        <v>128.13210123882504</v>
      </c>
      <c r="K359" t="str">
        <f t="shared" si="93"/>
        <v>Cut</v>
      </c>
      <c r="L359" s="28">
        <f t="shared" si="94"/>
        <v>128.13210123882504</v>
      </c>
      <c r="M359" s="28">
        <f t="shared" si="95"/>
        <v>0</v>
      </c>
      <c r="N359" s="28">
        <f>SUM($L$3:L359)</f>
        <v>80408.97419184937</v>
      </c>
      <c r="O359" s="28">
        <f>SUM($M$3:M359)</f>
        <v>79470.022047077</v>
      </c>
      <c r="Q359">
        <f>MATCH(C359,Ground!$A$3:$A$1999,1)</f>
        <v>112</v>
      </c>
      <c r="R359">
        <f ca="1">OFFSET(Ground!$A$2,Volume!Q359,0)</f>
        <v>7330</v>
      </c>
      <c r="S359">
        <f ca="1">OFFSET(Ground!$A$2,Volume!Q359,1)</f>
        <v>623.799494</v>
      </c>
      <c r="T359">
        <f ca="1">OFFSET(Ground!$A$2,Volume!Q359+1,0)</f>
        <v>7360</v>
      </c>
      <c r="U359">
        <f ca="1">OFFSET(Ground!$A$2,Volume!Q359+1,1)</f>
        <v>623.756583</v>
      </c>
      <c r="V359" s="26"/>
      <c r="W359">
        <f t="shared" si="89"/>
        <v>-49.582971248744194</v>
      </c>
      <c r="X359">
        <f>IF(Volume!W359&lt;'Temp Calcs'!$E$8,1,0)</f>
        <v>1</v>
      </c>
      <c r="Z359">
        <f t="shared" si="90"/>
        <v>49.086723861372384</v>
      </c>
      <c r="AA359">
        <f>IF(Volume!Z359&gt;'Temp Calcs'!$L$8,1,0)</f>
        <v>1</v>
      </c>
      <c r="AB359" s="8"/>
      <c r="AC359" s="7"/>
    </row>
    <row r="360" spans="1:29" ht="12.75">
      <c r="A360" s="1">
        <v>359</v>
      </c>
      <c r="C360" s="7">
        <f t="shared" si="98"/>
        <v>7336.5</v>
      </c>
      <c r="D360" s="8">
        <f t="shared" si="96"/>
        <v>623.829114166</v>
      </c>
      <c r="E360" s="7">
        <f t="shared" si="97"/>
        <v>0.1443169844841647</v>
      </c>
      <c r="F360" s="7"/>
      <c r="G360">
        <f t="shared" si="91"/>
        <v>623.7901966166667</v>
      </c>
      <c r="H360" s="8">
        <f t="shared" si="92"/>
        <v>0.03891754933329139</v>
      </c>
      <c r="I360" s="30">
        <f>IF(H360&lt;1,(Data!$G$16+14+0.8*Data!$G$17+Data!$G$18*(1-H360))*(1-H360),(Data!$G$16+6+Data!$G$17*(H360-0.6))*(H360-0.6))</f>
        <v>27.988801612093525</v>
      </c>
      <c r="J360" s="28">
        <f t="shared" si="99"/>
        <v>126.93281548938674</v>
      </c>
      <c r="K360" t="str">
        <f t="shared" si="93"/>
        <v>Cut</v>
      </c>
      <c r="L360" s="28">
        <f t="shared" si="94"/>
        <v>126.93281548938674</v>
      </c>
      <c r="M360" s="28">
        <f t="shared" si="95"/>
        <v>0</v>
      </c>
      <c r="N360" s="28">
        <f>SUM($L$3:L360)</f>
        <v>80535.90700733876</v>
      </c>
      <c r="O360" s="28">
        <f>SUM($M$3:M360)</f>
        <v>79470.022047077</v>
      </c>
      <c r="Q360">
        <f>MATCH(C360,Ground!$A$3:$A$1999,1)</f>
        <v>112</v>
      </c>
      <c r="R360">
        <f ca="1">OFFSET(Ground!$A$2,Volume!Q360,0)</f>
        <v>7330</v>
      </c>
      <c r="S360">
        <f ca="1">OFFSET(Ground!$A$2,Volume!Q360,1)</f>
        <v>623.799494</v>
      </c>
      <c r="T360">
        <f ca="1">OFFSET(Ground!$A$2,Volume!Q360+1,0)</f>
        <v>7360</v>
      </c>
      <c r="U360">
        <f ca="1">OFFSET(Ground!$A$2,Volume!Q360+1,1)</f>
        <v>623.756583</v>
      </c>
      <c r="V360" s="26"/>
      <c r="W360">
        <f t="shared" si="89"/>
        <v>-49.75337218804052</v>
      </c>
      <c r="X360">
        <f>IF(Volume!W360&lt;'Temp Calcs'!$E$8,1,0)</f>
        <v>1</v>
      </c>
      <c r="Z360">
        <f t="shared" si="90"/>
        <v>49.25728126393107</v>
      </c>
      <c r="AA360">
        <f>IF(Volume!Z360&gt;'Temp Calcs'!$L$8,1,0)</f>
        <v>1</v>
      </c>
      <c r="AB360" s="8"/>
      <c r="AC360" s="7"/>
    </row>
    <row r="361" spans="1:29" ht="12.75">
      <c r="A361" s="1">
        <v>360</v>
      </c>
      <c r="C361" s="7">
        <f t="shared" si="98"/>
        <v>7341</v>
      </c>
      <c r="D361" s="8">
        <f t="shared" si="96"/>
        <v>623.8344760394064</v>
      </c>
      <c r="E361" s="7">
        <f t="shared" si="97"/>
        <v>0.0939885002421505</v>
      </c>
      <c r="F361" s="7"/>
      <c r="G361">
        <f t="shared" si="91"/>
        <v>623.7837599666666</v>
      </c>
      <c r="H361" s="8">
        <f t="shared" si="92"/>
        <v>0.05071607273976042</v>
      </c>
      <c r="I361" s="30">
        <f>IF(H361&lt;1,(Data!$G$16+14+0.8*Data!$G$17+Data!$G$18*(1-H361))*(1-H361),(Data!$G$16+6+Data!$G$17*(H361-0.6))*(H361-0.6))</f>
        <v>27.622802770587764</v>
      </c>
      <c r="J361" s="28">
        <f t="shared" si="99"/>
        <v>125.12610986103292</v>
      </c>
      <c r="K361" t="str">
        <f t="shared" si="93"/>
        <v>Cut</v>
      </c>
      <c r="L361" s="28">
        <f t="shared" si="94"/>
        <v>125.12610986103292</v>
      </c>
      <c r="M361" s="28">
        <f t="shared" si="95"/>
        <v>0</v>
      </c>
      <c r="N361" s="28">
        <f>SUM($L$3:L361)</f>
        <v>80661.03311719978</v>
      </c>
      <c r="O361" s="28">
        <f>SUM($M$3:M361)</f>
        <v>79470.022047077</v>
      </c>
      <c r="Q361">
        <f>MATCH(C361,Ground!$A$3:$A$1999,1)</f>
        <v>112</v>
      </c>
      <c r="R361">
        <f ca="1">OFFSET(Ground!$A$2,Volume!Q361,0)</f>
        <v>7330</v>
      </c>
      <c r="S361">
        <f ca="1">OFFSET(Ground!$A$2,Volume!Q361,1)</f>
        <v>623.799494</v>
      </c>
      <c r="T361">
        <f ca="1">OFFSET(Ground!$A$2,Volume!Q361+1,0)</f>
        <v>7360</v>
      </c>
      <c r="U361">
        <f ca="1">OFFSET(Ground!$A$2,Volume!Q361+1,1)</f>
        <v>623.756583</v>
      </c>
      <c r="V361" s="26"/>
      <c r="W361">
        <f t="shared" si="89"/>
        <v>-49.92833893292441</v>
      </c>
      <c r="X361">
        <f>IF(Volume!W361&lt;'Temp Calcs'!$E$8,1,0)</f>
        <v>1</v>
      </c>
      <c r="Z361">
        <f t="shared" si="90"/>
        <v>49.43235795030444</v>
      </c>
      <c r="AA361">
        <f>IF(Volume!Z361&gt;'Temp Calcs'!$L$8,1,0)</f>
        <v>1</v>
      </c>
      <c r="AB361" s="8"/>
      <c r="AC361" s="7"/>
    </row>
    <row r="362" spans="1:29" ht="12.75">
      <c r="A362" s="1">
        <v>361</v>
      </c>
      <c r="C362" s="7">
        <f t="shared" si="98"/>
        <v>7345.5</v>
      </c>
      <c r="D362" s="8">
        <f t="shared" si="96"/>
        <v>623.8375731310217</v>
      </c>
      <c r="E362" s="7">
        <f t="shared" si="97"/>
        <v>0.04366001600013614</v>
      </c>
      <c r="F362" s="7"/>
      <c r="G362">
        <f t="shared" si="91"/>
        <v>623.7773233166666</v>
      </c>
      <c r="H362" s="8">
        <f t="shared" si="92"/>
        <v>0.060249814355074705</v>
      </c>
      <c r="I362" s="30">
        <f>IF(H362&lt;1,(Data!$G$16+14+0.8*Data!$G$17+Data!$G$18*(1-H362))*(1-H362),(Data!$G$16+6+Data!$G$17*(H362-0.6))*(H362-0.6))</f>
        <v>27.32746587238131</v>
      </c>
      <c r="J362" s="28">
        <f t="shared" si="99"/>
        <v>123.63810444668043</v>
      </c>
      <c r="K362" t="str">
        <f t="shared" si="93"/>
        <v>Cut</v>
      </c>
      <c r="L362" s="28">
        <f t="shared" si="94"/>
        <v>123.63810444668043</v>
      </c>
      <c r="M362" s="28">
        <f t="shared" si="95"/>
        <v>0</v>
      </c>
      <c r="N362" s="28">
        <f>SUM($L$3:L362)</f>
        <v>80784.67122164647</v>
      </c>
      <c r="O362" s="28">
        <f>SUM($M$3:M362)</f>
        <v>79470.022047077</v>
      </c>
      <c r="Q362">
        <f>MATCH(C362,Ground!$A$3:$A$1999,1)</f>
        <v>112</v>
      </c>
      <c r="R362">
        <f ca="1">OFFSET(Ground!$A$2,Volume!Q362,0)</f>
        <v>7330</v>
      </c>
      <c r="S362">
        <f ca="1">OFFSET(Ground!$A$2,Volume!Q362,1)</f>
        <v>623.799494</v>
      </c>
      <c r="T362">
        <f ca="1">OFFSET(Ground!$A$2,Volume!Q362+1,0)</f>
        <v>7360</v>
      </c>
      <c r="U362">
        <f ca="1">OFFSET(Ground!$A$2,Volume!Q362+1,1)</f>
        <v>623.756583</v>
      </c>
      <c r="V362" s="26"/>
      <c r="W362">
        <f t="shared" si="89"/>
        <v>-50.10791757647653</v>
      </c>
      <c r="X362">
        <f>IF(Volume!W362&lt;'Temp Calcs'!$E$8,1,0)</f>
        <v>1</v>
      </c>
      <c r="Z362">
        <f t="shared" si="90"/>
        <v>49.612000075369124</v>
      </c>
      <c r="AA362">
        <f>IF(Volume!Z362&gt;'Temp Calcs'!$L$8,1,0)</f>
        <v>1</v>
      </c>
      <c r="AB362" s="8"/>
      <c r="AC362" s="7"/>
    </row>
    <row r="363" spans="1:29" ht="12.75">
      <c r="A363" s="1">
        <v>362</v>
      </c>
      <c r="C363" s="7">
        <f t="shared" si="98"/>
        <v>7350</v>
      </c>
      <c r="D363" s="8">
        <f t="shared" si="96"/>
        <v>623.8384054408464</v>
      </c>
      <c r="E363" s="7">
        <f t="shared" si="97"/>
        <v>-0.006668468241878167</v>
      </c>
      <c r="F363" s="7"/>
      <c r="G363">
        <f t="shared" si="91"/>
        <v>623.7708866666667</v>
      </c>
      <c r="H363" s="8">
        <f t="shared" si="92"/>
        <v>0.06751877417968899</v>
      </c>
      <c r="I363" s="30">
        <f>IF(H363&lt;1,(Data!$G$16+14+0.8*Data!$G$17+Data!$G$18*(1-H363))*(1-H363),(Data!$G$16+6+Data!$G$17*(H363-0.6))*(H363-0.6))</f>
        <v>27.102531815327158</v>
      </c>
      <c r="J363" s="28">
        <f t="shared" si="99"/>
        <v>122.46749479734405</v>
      </c>
      <c r="K363" t="str">
        <f t="shared" si="93"/>
        <v>Cut</v>
      </c>
      <c r="L363" s="28">
        <f t="shared" si="94"/>
        <v>122.46749479734405</v>
      </c>
      <c r="M363" s="28">
        <f t="shared" si="95"/>
        <v>0</v>
      </c>
      <c r="N363" s="28">
        <f>SUM($L$3:L363)</f>
        <v>80907.1387164438</v>
      </c>
      <c r="O363" s="28">
        <f>SUM($M$3:M363)</f>
        <v>79470.022047077</v>
      </c>
      <c r="Q363">
        <f>MATCH(C363,Ground!$A$3:$A$1999,1)</f>
        <v>112</v>
      </c>
      <c r="R363">
        <f ca="1">OFFSET(Ground!$A$2,Volume!Q363,0)</f>
        <v>7330</v>
      </c>
      <c r="S363">
        <f ca="1">OFFSET(Ground!$A$2,Volume!Q363,1)</f>
        <v>623.799494</v>
      </c>
      <c r="T363">
        <f ca="1">OFFSET(Ground!$A$2,Volume!Q363+1,0)</f>
        <v>7360</v>
      </c>
      <c r="U363">
        <f ca="1">OFFSET(Ground!$A$2,Volume!Q363+1,1)</f>
        <v>623.756583</v>
      </c>
      <c r="V363" s="26"/>
      <c r="W363">
        <f t="shared" si="89"/>
        <v>-50.29215676937733</v>
      </c>
      <c r="X363">
        <f>IF(Volume!W363&lt;'Temp Calcs'!$E$8,1,0)</f>
        <v>1</v>
      </c>
      <c r="Z363">
        <f t="shared" si="90"/>
        <v>49.79625632546856</v>
      </c>
      <c r="AA363">
        <f>IF(Volume!Z363&gt;'Temp Calcs'!$L$8,1,0)</f>
        <v>1</v>
      </c>
      <c r="AB363" s="8"/>
      <c r="AC363" s="7"/>
    </row>
    <row r="364" spans="1:29" ht="12.75">
      <c r="A364" s="1">
        <v>363</v>
      </c>
      <c r="C364" s="7">
        <f t="shared" si="98"/>
        <v>7354.5</v>
      </c>
      <c r="D364" s="8">
        <f t="shared" si="96"/>
        <v>623.83697296888</v>
      </c>
      <c r="E364" s="7">
        <f t="shared" si="97"/>
        <v>-0.05699695248389247</v>
      </c>
      <c r="F364" s="7"/>
      <c r="G364">
        <f t="shared" si="91"/>
        <v>623.7644500166666</v>
      </c>
      <c r="H364" s="8">
        <f t="shared" si="92"/>
        <v>0.0725229522133759</v>
      </c>
      <c r="I364" s="30">
        <f>IF(H364&lt;1,(Data!$G$16+14+0.8*Data!$G$17+Data!$G$18*(1-H364))*(1-H364),(Data!$G$16+6+Data!$G$17*(H364-0.6))*(H364-0.6))</f>
        <v>26.94780304813816</v>
      </c>
      <c r="J364" s="28">
        <f t="shared" si="99"/>
        <v>121.61325344279696</v>
      </c>
      <c r="K364" t="str">
        <f t="shared" si="93"/>
        <v>Cut</v>
      </c>
      <c r="L364" s="28">
        <f t="shared" si="94"/>
        <v>121.61325344279696</v>
      </c>
      <c r="M364" s="28">
        <f t="shared" si="95"/>
        <v>0</v>
      </c>
      <c r="N364" s="28">
        <f>SUM($L$3:L364)</f>
        <v>81028.75196988661</v>
      </c>
      <c r="O364" s="28">
        <f>SUM($M$3:M364)</f>
        <v>79470.022047077</v>
      </c>
      <c r="Q364">
        <f>MATCH(C364,Ground!$A$3:$A$1999,1)</f>
        <v>112</v>
      </c>
      <c r="R364">
        <f ca="1">OFFSET(Ground!$A$2,Volume!Q364,0)</f>
        <v>7330</v>
      </c>
      <c r="S364">
        <f ca="1">OFFSET(Ground!$A$2,Volume!Q364,1)</f>
        <v>623.799494</v>
      </c>
      <c r="T364">
        <f ca="1">OFFSET(Ground!$A$2,Volume!Q364+1,0)</f>
        <v>7360</v>
      </c>
      <c r="U364">
        <f ca="1">OFFSET(Ground!$A$2,Volume!Q364+1,1)</f>
        <v>623.756583</v>
      </c>
      <c r="V364" s="26"/>
      <c r="W364">
        <f t="shared" si="89"/>
        <v>-50.48110776380879</v>
      </c>
      <c r="X364">
        <f>IF(Volume!W364&lt;'Temp Calcs'!$E$8,1,0)</f>
        <v>1</v>
      </c>
      <c r="Z364">
        <f t="shared" si="90"/>
        <v>49.985177962364894</v>
      </c>
      <c r="AA364">
        <f>IF(Volume!Z364&gt;'Temp Calcs'!$L$8,1,0)</f>
        <v>1</v>
      </c>
      <c r="AB364" s="8"/>
      <c r="AC364" s="7"/>
    </row>
    <row r="365" spans="1:29" ht="12.75">
      <c r="A365" s="1">
        <v>364</v>
      </c>
      <c r="C365" s="7">
        <f t="shared" si="98"/>
        <v>7359</v>
      </c>
      <c r="D365" s="8">
        <f t="shared" si="96"/>
        <v>623.8332757151228</v>
      </c>
      <c r="E365" s="7">
        <f t="shared" si="97"/>
        <v>-0.10732543672590666</v>
      </c>
      <c r="F365" s="7"/>
      <c r="G365">
        <f t="shared" si="91"/>
        <v>623.7580133666667</v>
      </c>
      <c r="H365" s="8">
        <f t="shared" si="92"/>
        <v>0.07526234845613544</v>
      </c>
      <c r="I365" s="30">
        <f>IF(H365&lt;1,(Data!$G$16+14+0.8*Data!$G$17+Data!$G$18*(1-H365))*(1-H365),(Data!$G$16+6+Data!$G$17*(H365-0.6))*(H365-0.6))</f>
        <v>26.86314357035884</v>
      </c>
      <c r="J365" s="28">
        <f t="shared" si="99"/>
        <v>121.07462989161824</v>
      </c>
      <c r="K365" t="str">
        <f t="shared" si="93"/>
        <v>Cut</v>
      </c>
      <c r="L365" s="28">
        <f t="shared" si="94"/>
        <v>121.07462989161824</v>
      </c>
      <c r="M365" s="28">
        <f t="shared" si="95"/>
        <v>0</v>
      </c>
      <c r="N365" s="28">
        <f>SUM($L$3:L365)</f>
        <v>81149.82659977823</v>
      </c>
      <c r="O365" s="28">
        <f>SUM($M$3:M365)</f>
        <v>79470.022047077</v>
      </c>
      <c r="Q365">
        <f>MATCH(C365,Ground!$A$3:$A$1999,1)</f>
        <v>112</v>
      </c>
      <c r="R365">
        <f ca="1">OFFSET(Ground!$A$2,Volume!Q365,0)</f>
        <v>7330</v>
      </c>
      <c r="S365">
        <f ca="1">OFFSET(Ground!$A$2,Volume!Q365,1)</f>
        <v>623.799494</v>
      </c>
      <c r="T365">
        <f ca="1">OFFSET(Ground!$A$2,Volume!Q365+1,0)</f>
        <v>7360</v>
      </c>
      <c r="U365">
        <f ca="1">OFFSET(Ground!$A$2,Volume!Q365+1,1)</f>
        <v>623.756583</v>
      </c>
      <c r="V365" s="26"/>
      <c r="W365">
        <f t="shared" si="89"/>
        <v>-50.67482446098252</v>
      </c>
      <c r="X365">
        <f>IF(Volume!W365&lt;'Temp Calcs'!$E$8,1,0)</f>
        <v>1</v>
      </c>
      <c r="Z365">
        <f t="shared" si="90"/>
        <v>50.17881887078049</v>
      </c>
      <c r="AA365">
        <f>IF(Volume!Z365&gt;'Temp Calcs'!$L$8,1,0)</f>
        <v>1</v>
      </c>
      <c r="AB365" s="8"/>
      <c r="AC365" s="7"/>
    </row>
    <row r="366" spans="1:29" ht="12.75">
      <c r="A366" s="1">
        <v>365</v>
      </c>
      <c r="C366" s="7">
        <f t="shared" si="98"/>
        <v>7363.5</v>
      </c>
      <c r="D366" s="8">
        <f t="shared" si="96"/>
        <v>623.8273136795747</v>
      </c>
      <c r="E366" s="7">
        <f t="shared" si="97"/>
        <v>-0.15765392096792108</v>
      </c>
      <c r="F366" s="7"/>
      <c r="G366">
        <f t="shared" si="91"/>
        <v>623.7489849666666</v>
      </c>
      <c r="H366" s="8">
        <f t="shared" si="92"/>
        <v>0.07832871290804633</v>
      </c>
      <c r="I366" s="30">
        <f>IF(H366&lt;1,(Data!$G$16+14+0.8*Data!$G$17+Data!$G$18*(1-H366))*(1-H366),(Data!$G$16+6+Data!$G$17*(H366-0.6))*(H366-0.6))</f>
        <v>26.768414931800617</v>
      </c>
      <c r="J366" s="28">
        <f t="shared" si="99"/>
        <v>120.67100662985878</v>
      </c>
      <c r="K366" t="str">
        <f t="shared" si="93"/>
        <v>Cut</v>
      </c>
      <c r="L366" s="28">
        <f t="shared" si="94"/>
        <v>120.67100662985878</v>
      </c>
      <c r="M366" s="28">
        <f t="shared" si="95"/>
        <v>0</v>
      </c>
      <c r="N366" s="28">
        <f>SUM($L$3:L366)</f>
        <v>81270.49760640808</v>
      </c>
      <c r="O366" s="28">
        <f>SUM($M$3:M366)</f>
        <v>79470.022047077</v>
      </c>
      <c r="Q366">
        <f>MATCH(C366,Ground!$A$3:$A$1999,1)</f>
        <v>113</v>
      </c>
      <c r="R366">
        <f ca="1">OFFSET(Ground!$A$2,Volume!Q366,0)</f>
        <v>7360</v>
      </c>
      <c r="S366">
        <f ca="1">OFFSET(Ground!$A$2,Volume!Q366,1)</f>
        <v>623.756583</v>
      </c>
      <c r="T366">
        <f ca="1">OFFSET(Ground!$A$2,Volume!Q366+1,0)</f>
        <v>7390</v>
      </c>
      <c r="U366">
        <f ca="1">OFFSET(Ground!$A$2,Volume!Q366+1,1)</f>
        <v>623.691457</v>
      </c>
      <c r="V366" s="26"/>
      <c r="W366">
        <f t="shared" si="89"/>
        <v>-50.873363462396576</v>
      </c>
      <c r="X366">
        <f>IF(Volume!W366&lt;'Temp Calcs'!$E$8,1,0)</f>
        <v>1</v>
      </c>
      <c r="Z366">
        <f t="shared" si="90"/>
        <v>50.37723560963162</v>
      </c>
      <c r="AA366">
        <f>IF(Volume!Z366&gt;'Temp Calcs'!$L$8,1,0)</f>
        <v>1</v>
      </c>
      <c r="AB366" s="8"/>
      <c r="AC366" s="7"/>
    </row>
    <row r="367" spans="1:29" ht="12.75">
      <c r="A367" s="1">
        <v>366</v>
      </c>
      <c r="C367" s="7">
        <f t="shared" si="98"/>
        <v>7368</v>
      </c>
      <c r="D367" s="8">
        <f t="shared" si="96"/>
        <v>623.8190868622356</v>
      </c>
      <c r="E367" s="7">
        <f t="shared" si="97"/>
        <v>-0.20798240520993527</v>
      </c>
      <c r="F367" s="7"/>
      <c r="G367">
        <f t="shared" si="91"/>
        <v>623.7392160666667</v>
      </c>
      <c r="H367" s="8">
        <f t="shared" si="92"/>
        <v>0.0798707955689224</v>
      </c>
      <c r="I367" s="30">
        <f>IF(H367&lt;1,(Data!$G$16+14+0.8*Data!$G$17+Data!$G$18*(1-H367))*(1-H367),(Data!$G$16+6+Data!$G$17*(H367-0.6))*(H367-0.6))</f>
        <v>26.720789866219246</v>
      </c>
      <c r="J367" s="28">
        <f t="shared" si="99"/>
        <v>120.35071079554469</v>
      </c>
      <c r="K367" t="str">
        <f t="shared" si="93"/>
        <v>Cut</v>
      </c>
      <c r="L367" s="28">
        <f t="shared" si="94"/>
        <v>120.35071079554469</v>
      </c>
      <c r="M367" s="28">
        <f t="shared" si="95"/>
        <v>0</v>
      </c>
      <c r="N367" s="28">
        <f>SUM($L$3:L367)</f>
        <v>81390.84831720362</v>
      </c>
      <c r="O367" s="28">
        <f>SUM($M$3:M367)</f>
        <v>79470.022047077</v>
      </c>
      <c r="Q367">
        <f>MATCH(C367,Ground!$A$3:$A$1999,1)</f>
        <v>113</v>
      </c>
      <c r="R367">
        <f ca="1">OFFSET(Ground!$A$2,Volume!Q367,0)</f>
        <v>7360</v>
      </c>
      <c r="S367">
        <f ca="1">OFFSET(Ground!$A$2,Volume!Q367,1)</f>
        <v>623.756583</v>
      </c>
      <c r="T367">
        <f ca="1">OFFSET(Ground!$A$2,Volume!Q367+1,0)</f>
        <v>7390</v>
      </c>
      <c r="U367">
        <f ca="1">OFFSET(Ground!$A$2,Volume!Q367+1,1)</f>
        <v>623.691457</v>
      </c>
      <c r="V367" s="26"/>
      <c r="W367">
        <f t="shared" si="89"/>
        <v>-51.0767841249159</v>
      </c>
      <c r="X367">
        <f>IF(Volume!W367&lt;'Temp Calcs'!$E$8,1,0)</f>
        <v>1</v>
      </c>
      <c r="Z367">
        <f t="shared" si="90"/>
        <v>50.580487467049046</v>
      </c>
      <c r="AA367">
        <f>IF(Volume!Z367&gt;'Temp Calcs'!$L$8,1,0)</f>
        <v>1</v>
      </c>
      <c r="AB367" s="8"/>
      <c r="AC367" s="7"/>
    </row>
    <row r="368" spans="1:29" ht="12.75">
      <c r="A368" s="1">
        <v>367</v>
      </c>
      <c r="C368" s="7">
        <f t="shared" si="98"/>
        <v>7372.5</v>
      </c>
      <c r="D368" s="8">
        <f t="shared" si="96"/>
        <v>623.8085952631058</v>
      </c>
      <c r="E368" s="7">
        <f t="shared" si="97"/>
        <v>-0.2583108894519497</v>
      </c>
      <c r="F368" s="7"/>
      <c r="G368">
        <f t="shared" si="91"/>
        <v>623.7294471666667</v>
      </c>
      <c r="H368" s="8">
        <f t="shared" si="92"/>
        <v>0.07914809643909848</v>
      </c>
      <c r="I368" s="30">
        <f>IF(H368&lt;1,(Data!$G$16+14+0.8*Data!$G$17+Data!$G$18*(1-H368))*(1-H368),(Data!$G$16+6+Data!$G$17*(H368-0.6))*(H368-0.6))</f>
        <v>26.743108233439994</v>
      </c>
      <c r="J368" s="28">
        <f t="shared" si="99"/>
        <v>120.29377072423328</v>
      </c>
      <c r="K368" t="str">
        <f t="shared" si="93"/>
        <v>Cut</v>
      </c>
      <c r="L368" s="28">
        <f t="shared" si="94"/>
        <v>120.29377072423328</v>
      </c>
      <c r="M368" s="28">
        <f t="shared" si="95"/>
        <v>0</v>
      </c>
      <c r="N368" s="28">
        <f>SUM($L$3:L368)</f>
        <v>81511.14208792786</v>
      </c>
      <c r="O368" s="28">
        <f>SUM($M$3:M368)</f>
        <v>79470.022047077</v>
      </c>
      <c r="Q368">
        <f>MATCH(C368,Ground!$A$3:$A$1999,1)</f>
        <v>113</v>
      </c>
      <c r="R368">
        <f ca="1">OFFSET(Ground!$A$2,Volume!Q368,0)</f>
        <v>7360</v>
      </c>
      <c r="S368">
        <f ca="1">OFFSET(Ground!$A$2,Volume!Q368,1)</f>
        <v>623.756583</v>
      </c>
      <c r="T368">
        <f ca="1">OFFSET(Ground!$A$2,Volume!Q368+1,0)</f>
        <v>7390</v>
      </c>
      <c r="U368">
        <f ca="1">OFFSET(Ground!$A$2,Volume!Q368+1,1)</f>
        <v>623.691457</v>
      </c>
      <c r="V368" s="26"/>
      <c r="W368">
        <f t="shared" si="89"/>
        <v>-51.2851486197928</v>
      </c>
      <c r="X368">
        <f>IF(Volume!W368&lt;'Temp Calcs'!$E$8,1,0)</f>
        <v>1</v>
      </c>
      <c r="Z368">
        <f t="shared" si="90"/>
        <v>50.78863651930186</v>
      </c>
      <c r="AA368">
        <f>IF(Volume!Z368&gt;'Temp Calcs'!$L$8,1,0)</f>
        <v>1</v>
      </c>
      <c r="AB368" s="8"/>
      <c r="AC368" s="7"/>
    </row>
    <row r="369" spans="1:29" ht="12.75">
      <c r="A369" s="1">
        <v>368</v>
      </c>
      <c r="C369" s="7">
        <f t="shared" si="98"/>
        <v>7377</v>
      </c>
      <c r="D369" s="8">
        <f t="shared" si="96"/>
        <v>623.7958388821851</v>
      </c>
      <c r="E369" s="7">
        <f t="shared" si="97"/>
        <v>-0.3086393736939639</v>
      </c>
      <c r="F369" s="7"/>
      <c r="G369">
        <f t="shared" si="91"/>
        <v>623.7196782666666</v>
      </c>
      <c r="H369" s="8">
        <f t="shared" si="92"/>
        <v>0.07616061551846087</v>
      </c>
      <c r="I369" s="30">
        <f>IF(H369&lt;1,(Data!$G$16+14+0.8*Data!$G$17+Data!$G$18*(1-H369))*(1-H369),(Data!$G$16+6+Data!$G$17*(H369-0.6))*(H369-0.6))</f>
        <v>26.835389674536323</v>
      </c>
      <c r="J369" s="28">
        <f t="shared" si="99"/>
        <v>120.55162029294671</v>
      </c>
      <c r="K369" t="str">
        <f t="shared" si="93"/>
        <v>Cut</v>
      </c>
      <c r="L369" s="28">
        <f t="shared" si="94"/>
        <v>120.55162029294671</v>
      </c>
      <c r="M369" s="28">
        <f t="shared" si="95"/>
        <v>0</v>
      </c>
      <c r="N369" s="28">
        <f>SUM($L$3:L369)</f>
        <v>81631.6937082208</v>
      </c>
      <c r="O369" s="28">
        <f>SUM($M$3:M369)</f>
        <v>79470.022047077</v>
      </c>
      <c r="Q369">
        <f>MATCH(C369,Ground!$A$3:$A$1999,1)</f>
        <v>113</v>
      </c>
      <c r="R369">
        <f ca="1">OFFSET(Ground!$A$2,Volume!Q369,0)</f>
        <v>7360</v>
      </c>
      <c r="S369">
        <f ca="1">OFFSET(Ground!$A$2,Volume!Q369,1)</f>
        <v>623.756583</v>
      </c>
      <c r="T369">
        <f ca="1">OFFSET(Ground!$A$2,Volume!Q369+1,0)</f>
        <v>7390</v>
      </c>
      <c r="U369">
        <f ca="1">OFFSET(Ground!$A$2,Volume!Q369+1,1)</f>
        <v>623.691457</v>
      </c>
      <c r="V369" s="26"/>
      <c r="W369">
        <f t="shared" si="89"/>
        <v>-51.498521995749904</v>
      </c>
      <c r="X369">
        <f>IF(Volume!W369&lt;'Temp Calcs'!$E$8,1,0)</f>
        <v>1</v>
      </c>
      <c r="Z369">
        <f t="shared" si="90"/>
        <v>51.00174769374667</v>
      </c>
      <c r="AA369">
        <f>IF(Volume!Z369&gt;'Temp Calcs'!$L$8,1,0)</f>
        <v>1</v>
      </c>
      <c r="AB369" s="8"/>
      <c r="AC369" s="7"/>
    </row>
    <row r="370" spans="1:29" ht="12.75">
      <c r="A370" s="1">
        <v>369</v>
      </c>
      <c r="C370" s="7">
        <f t="shared" si="98"/>
        <v>7381.5</v>
      </c>
      <c r="D370" s="8">
        <f t="shared" si="96"/>
        <v>623.7808177194732</v>
      </c>
      <c r="E370" s="7">
        <f t="shared" si="97"/>
        <v>-0.3589678579359781</v>
      </c>
      <c r="F370" s="7"/>
      <c r="G370">
        <f t="shared" si="91"/>
        <v>623.7099093666667</v>
      </c>
      <c r="H370" s="8">
        <f t="shared" si="92"/>
        <v>0.07090835280655483</v>
      </c>
      <c r="I370" s="30">
        <f>IF(H370&lt;1,(Data!$G$16+14+0.8*Data!$G$17+Data!$G$18*(1-H370))*(1-H370),(Data!$G$16+6+Data!$G$17*(H370-0.6))*(H370-0.6))</f>
        <v>26.997715381430968</v>
      </c>
      <c r="J370" s="28">
        <f t="shared" si="99"/>
        <v>121.12448637592641</v>
      </c>
      <c r="K370" t="str">
        <f t="shared" si="93"/>
        <v>Cut</v>
      </c>
      <c r="L370" s="28">
        <f t="shared" si="94"/>
        <v>121.12448637592641</v>
      </c>
      <c r="M370" s="28">
        <f t="shared" si="95"/>
        <v>0</v>
      </c>
      <c r="N370" s="28">
        <f>SUM($L$3:L370)</f>
        <v>81752.81819459672</v>
      </c>
      <c r="O370" s="28">
        <f>SUM($M$3:M370)</f>
        <v>79470.022047077</v>
      </c>
      <c r="Q370">
        <f>MATCH(C370,Ground!$A$3:$A$1999,1)</f>
        <v>113</v>
      </c>
      <c r="R370">
        <f ca="1">OFFSET(Ground!$A$2,Volume!Q370,0)</f>
        <v>7360</v>
      </c>
      <c r="S370">
        <f ca="1">OFFSET(Ground!$A$2,Volume!Q370,1)</f>
        <v>623.756583</v>
      </c>
      <c r="T370">
        <f ca="1">OFFSET(Ground!$A$2,Volume!Q370+1,0)</f>
        <v>7390</v>
      </c>
      <c r="U370">
        <f ca="1">OFFSET(Ground!$A$2,Volume!Q370+1,1)</f>
        <v>623.691457</v>
      </c>
      <c r="V370" s="26"/>
      <c r="W370">
        <f t="shared" si="89"/>
        <v>-51.716972246259154</v>
      </c>
      <c r="X370">
        <f>IF(Volume!W370&lt;'Temp Calcs'!$E$8,1,0)</f>
        <v>1</v>
      </c>
      <c r="Z370">
        <f t="shared" si="90"/>
        <v>51.21988883593539</v>
      </c>
      <c r="AA370">
        <f>IF(Volume!Z370&gt;'Temp Calcs'!$L$8,1,0)</f>
        <v>1</v>
      </c>
      <c r="AB370" s="8"/>
      <c r="AC370" s="7"/>
    </row>
    <row r="371" spans="1:29" ht="12.75">
      <c r="A371" s="1">
        <v>370</v>
      </c>
      <c r="C371" s="7">
        <f t="shared" si="98"/>
        <v>7386</v>
      </c>
      <c r="D371" s="8">
        <f t="shared" si="96"/>
        <v>623.7635317749707</v>
      </c>
      <c r="E371" s="7">
        <f t="shared" si="97"/>
        <v>-0.4092963421779925</v>
      </c>
      <c r="F371" s="7"/>
      <c r="G371">
        <f t="shared" si="91"/>
        <v>623.7001404666667</v>
      </c>
      <c r="H371" s="8">
        <f t="shared" si="92"/>
        <v>0.06339130830406248</v>
      </c>
      <c r="I371" s="30">
        <f>IF(H371&lt;1,(Data!$G$16+14+0.8*Data!$G$17+Data!$G$18*(1-H371))*(1-H371),(Data!$G$16+6+Data!$G$17*(H371-0.6))*(H371-0.6))</f>
        <v>27.23022809685025</v>
      </c>
      <c r="J371" s="28">
        <f t="shared" si="99"/>
        <v>122.01287282613274</v>
      </c>
      <c r="K371" t="str">
        <f t="shared" si="93"/>
        <v>Cut</v>
      </c>
      <c r="L371" s="28">
        <f t="shared" si="94"/>
        <v>122.01287282613274</v>
      </c>
      <c r="M371" s="28">
        <f t="shared" si="95"/>
        <v>0</v>
      </c>
      <c r="N371" s="28">
        <f>SUM($L$3:L371)</f>
        <v>81874.83106742286</v>
      </c>
      <c r="O371" s="28">
        <f>SUM($M$3:M371)</f>
        <v>79470.022047077</v>
      </c>
      <c r="Q371">
        <f>MATCH(C371,Ground!$A$3:$A$1999,1)</f>
        <v>113</v>
      </c>
      <c r="R371">
        <f ca="1">OFFSET(Ground!$A$2,Volume!Q371,0)</f>
        <v>7360</v>
      </c>
      <c r="S371">
        <f ca="1">OFFSET(Ground!$A$2,Volume!Q371,1)</f>
        <v>623.756583</v>
      </c>
      <c r="T371">
        <f ca="1">OFFSET(Ground!$A$2,Volume!Q371+1,0)</f>
        <v>7390</v>
      </c>
      <c r="U371">
        <f ca="1">OFFSET(Ground!$A$2,Volume!Q371+1,1)</f>
        <v>623.691457</v>
      </c>
      <c r="V371" s="26"/>
      <c r="W371">
        <f t="shared" si="89"/>
        <v>-51.9405703811593</v>
      </c>
      <c r="X371">
        <f>IF(Volume!W371&lt;'Temp Calcs'!$E$8,1,0)</f>
        <v>1</v>
      </c>
      <c r="Z371">
        <f t="shared" si="90"/>
        <v>51.44313078102369</v>
      </c>
      <c r="AA371">
        <f>IF(Volume!Z371&gt;'Temp Calcs'!$L$8,1,0)</f>
        <v>1</v>
      </c>
      <c r="AB371" s="8"/>
      <c r="AC371" s="7"/>
    </row>
    <row r="372" spans="1:29" ht="12.75">
      <c r="A372" s="1">
        <v>371</v>
      </c>
      <c r="C372" s="7">
        <f t="shared" si="98"/>
        <v>7390.5</v>
      </c>
      <c r="D372" s="8">
        <f t="shared" si="96"/>
        <v>623.7439810486774</v>
      </c>
      <c r="E372" s="7">
        <f aca="true" t="shared" si="100" ref="E372:E401">$E$352+($E$402-$E$352)*(C372-$C$352)/($C$402-$C$352)</f>
        <v>-0.4596248264200068</v>
      </c>
      <c r="F372" s="7"/>
      <c r="G372">
        <f aca="true" t="shared" si="101" ref="G372:G401">S372+(U372-S372)*(C372-R372)/(T372-R372)</f>
        <v>623.6888769666667</v>
      </c>
      <c r="H372" s="8">
        <f aca="true" t="shared" si="102" ref="H372:H401">D372-G372</f>
        <v>0.05510408201064365</v>
      </c>
      <c r="I372" s="30">
        <f>IF(H372&lt;1,(Data!$G$16+14+0.8*Data!$G$17+Data!$G$18*(1-H372))*(1-H372),(Data!$G$16+6+Data!$G$17*(H372-0.6))*(H372-0.6))</f>
        <v>27.48682556097639</v>
      </c>
      <c r="J372" s="28">
        <f t="shared" si="99"/>
        <v>123.11337073010993</v>
      </c>
      <c r="K372" t="str">
        <f aca="true" t="shared" si="103" ref="K372:K401">IF(H372&lt;0.5,"Cut","Fill")</f>
        <v>Cut</v>
      </c>
      <c r="L372" s="28">
        <f aca="true" t="shared" si="104" ref="L372:L401">IF(K372="Cut",J372,0)</f>
        <v>123.11337073010993</v>
      </c>
      <c r="M372" s="28">
        <f aca="true" t="shared" si="105" ref="M372:M401">IF(K372="Fill",J372,0)</f>
        <v>0</v>
      </c>
      <c r="N372" s="28">
        <f>SUM($L$3:L372)</f>
        <v>81997.94443815296</v>
      </c>
      <c r="O372" s="28">
        <f>SUM($M$3:M372)</f>
        <v>79470.022047077</v>
      </c>
      <c r="Q372">
        <f>MATCH(C372,Ground!$A$3:$A$1999,1)</f>
        <v>114</v>
      </c>
      <c r="R372">
        <f ca="1">OFFSET(Ground!$A$2,Volume!Q372,0)</f>
        <v>7390</v>
      </c>
      <c r="S372">
        <f ca="1">OFFSET(Ground!$A$2,Volume!Q372,1)</f>
        <v>623.691457</v>
      </c>
      <c r="T372">
        <f ca="1">OFFSET(Ground!$A$2,Volume!Q372+1,0)</f>
        <v>7420</v>
      </c>
      <c r="U372">
        <f ca="1">OFFSET(Ground!$A$2,Volume!Q372+1,1)</f>
        <v>623.536655</v>
      </c>
      <c r="V372" s="26"/>
      <c r="W372">
        <f t="shared" si="89"/>
        <v>-52.169390502777546</v>
      </c>
      <c r="X372">
        <f>IF(Volume!W372&lt;'Temp Calcs'!$E$8,1,0)</f>
        <v>1</v>
      </c>
      <c r="Z372">
        <f t="shared" si="90"/>
        <v>51.67154742964509</v>
      </c>
      <c r="AA372">
        <f>IF(Volume!Z372&gt;'Temp Calcs'!$L$8,1,0)</f>
        <v>1</v>
      </c>
      <c r="AB372" s="8"/>
      <c r="AC372" s="7"/>
    </row>
    <row r="373" spans="1:29" ht="12.75">
      <c r="A373" s="1">
        <v>372</v>
      </c>
      <c r="C373" s="7">
        <f t="shared" si="98"/>
        <v>7395</v>
      </c>
      <c r="D373" s="8">
        <f t="shared" si="96"/>
        <v>623.722165540593</v>
      </c>
      <c r="E373" s="7">
        <f t="shared" si="100"/>
        <v>-0.509953310662021</v>
      </c>
      <c r="F373" s="7"/>
      <c r="G373">
        <f t="shared" si="101"/>
        <v>623.6656566666667</v>
      </c>
      <c r="H373" s="8">
        <f t="shared" si="102"/>
        <v>0.05650887392630466</v>
      </c>
      <c r="I373" s="30">
        <f>IF(H373&lt;1,(Data!$G$16+14+0.8*Data!$G$17+Data!$G$18*(1-H373))*(1-H373),(Data!$G$16+6+Data!$G$17*(H373-0.6))*(H373-0.6))</f>
        <v>27.44330963916413</v>
      </c>
      <c r="J373" s="28">
        <f t="shared" si="99"/>
        <v>123.59280420031617</v>
      </c>
      <c r="K373" t="str">
        <f t="shared" si="103"/>
        <v>Cut</v>
      </c>
      <c r="L373" s="28">
        <f t="shared" si="104"/>
        <v>123.59280420031617</v>
      </c>
      <c r="M373" s="28">
        <f t="shared" si="105"/>
        <v>0</v>
      </c>
      <c r="N373" s="28">
        <f>SUM($L$3:L373)</f>
        <v>82121.53724235328</v>
      </c>
      <c r="O373" s="28">
        <f>SUM($M$3:M373)</f>
        <v>79470.022047077</v>
      </c>
      <c r="Q373">
        <f>MATCH(C373,Ground!$A$3:$A$1999,1)</f>
        <v>114</v>
      </c>
      <c r="R373">
        <f ca="1">OFFSET(Ground!$A$2,Volume!Q373,0)</f>
        <v>7390</v>
      </c>
      <c r="S373">
        <f ca="1">OFFSET(Ground!$A$2,Volume!Q373,1)</f>
        <v>623.691457</v>
      </c>
      <c r="T373">
        <f ca="1">OFFSET(Ground!$A$2,Volume!Q373+1,0)</f>
        <v>7420</v>
      </c>
      <c r="U373">
        <f ca="1">OFFSET(Ground!$A$2,Volume!Q373+1,1)</f>
        <v>623.536655</v>
      </c>
      <c r="V373" s="26"/>
      <c r="W373">
        <f t="shared" si="89"/>
        <v>-52.40350988671614</v>
      </c>
      <c r="X373">
        <f>IF(Volume!W373&lt;'Temp Calcs'!$E$8,1,0)</f>
        <v>1</v>
      </c>
      <c r="Z373">
        <f t="shared" si="90"/>
        <v>51.90521582841093</v>
      </c>
      <c r="AA373">
        <f>IF(Volume!Z373&gt;'Temp Calcs'!$L$8,1,0)</f>
        <v>1</v>
      </c>
      <c r="AB373" s="8"/>
      <c r="AC373" s="7"/>
    </row>
    <row r="374" spans="1:29" ht="12.75">
      <c r="A374" s="1">
        <v>373</v>
      </c>
      <c r="C374" s="7">
        <f t="shared" si="98"/>
        <v>7399.5</v>
      </c>
      <c r="D374" s="8">
        <f t="shared" si="96"/>
        <v>623.6980852507177</v>
      </c>
      <c r="E374" s="7">
        <f t="shared" si="100"/>
        <v>-0.5602817949040354</v>
      </c>
      <c r="F374" s="7"/>
      <c r="G374">
        <f t="shared" si="101"/>
        <v>623.6424363666666</v>
      </c>
      <c r="H374" s="8">
        <f t="shared" si="102"/>
        <v>0.055648884051038294</v>
      </c>
      <c r="I374" s="30">
        <f>IF(H374&lt;1,(Data!$G$16+14+0.8*Data!$G$17+Data!$G$18*(1-H374))*(1-H374),(Data!$G$16+6+Data!$G$17*(H374-0.6))*(H374-0.6))</f>
        <v>27.469948414199855</v>
      </c>
      <c r="J374" s="28">
        <f t="shared" si="99"/>
        <v>123.55483062006897</v>
      </c>
      <c r="K374" t="str">
        <f t="shared" si="103"/>
        <v>Cut</v>
      </c>
      <c r="L374" s="28">
        <f t="shared" si="104"/>
        <v>123.55483062006897</v>
      </c>
      <c r="M374" s="28">
        <f t="shared" si="105"/>
        <v>0</v>
      </c>
      <c r="N374" s="28">
        <f>SUM($L$3:L374)</f>
        <v>82245.09207297335</v>
      </c>
      <c r="O374" s="28">
        <f>SUM($M$3:M374)</f>
        <v>79470.022047077</v>
      </c>
      <c r="Q374">
        <f>MATCH(C374,Ground!$A$3:$A$1999,1)</f>
        <v>114</v>
      </c>
      <c r="R374">
        <f ca="1">OFFSET(Ground!$A$2,Volume!Q374,0)</f>
        <v>7390</v>
      </c>
      <c r="S374">
        <f ca="1">OFFSET(Ground!$A$2,Volume!Q374,1)</f>
        <v>623.691457</v>
      </c>
      <c r="T374">
        <f ca="1">OFFSET(Ground!$A$2,Volume!Q374+1,0)</f>
        <v>7420</v>
      </c>
      <c r="U374">
        <f ca="1">OFFSET(Ground!$A$2,Volume!Q374+1,1)</f>
        <v>623.536655</v>
      </c>
      <c r="V374" s="26"/>
      <c r="W374">
        <f t="shared" si="89"/>
        <v>-52.643009067490894</v>
      </c>
      <c r="X374">
        <f>IF(Volume!W374&lt;'Temp Calcs'!$E$8,1,0)</f>
        <v>1</v>
      </c>
      <c r="Z374">
        <f t="shared" si="90"/>
        <v>52.144216255222425</v>
      </c>
      <c r="AA374">
        <f>IF(Volume!Z374&gt;'Temp Calcs'!$L$8,1,0)</f>
        <v>1</v>
      </c>
      <c r="AB374" s="8"/>
      <c r="AC374" s="7"/>
    </row>
    <row r="375" spans="1:29" ht="12.75">
      <c r="A375" s="1">
        <v>374</v>
      </c>
      <c r="C375" s="7">
        <f t="shared" si="98"/>
        <v>7404</v>
      </c>
      <c r="D375" s="8">
        <f t="shared" si="96"/>
        <v>623.6717401790515</v>
      </c>
      <c r="E375" s="7">
        <f t="shared" si="100"/>
        <v>-0.6106102791460496</v>
      </c>
      <c r="F375" s="7"/>
      <c r="G375">
        <f t="shared" si="101"/>
        <v>623.6192160666667</v>
      </c>
      <c r="H375" s="8">
        <f t="shared" si="102"/>
        <v>0.05252411238484456</v>
      </c>
      <c r="I375" s="30">
        <f>IF(H375&lt;1,(Data!$G$16+14+0.8*Data!$G$17+Data!$G$18*(1-H375))*(1-H375),(Data!$G$16+6+Data!$G$17*(H375-0.6))*(H375-0.6))</f>
        <v>27.56676525835648</v>
      </c>
      <c r="J375" s="28">
        <f t="shared" si="99"/>
        <v>123.83260576325175</v>
      </c>
      <c r="K375" t="str">
        <f t="shared" si="103"/>
        <v>Cut</v>
      </c>
      <c r="L375" s="28">
        <f t="shared" si="104"/>
        <v>123.83260576325175</v>
      </c>
      <c r="M375" s="28">
        <f t="shared" si="105"/>
        <v>0</v>
      </c>
      <c r="N375" s="28">
        <f>SUM($L$3:L375)</f>
        <v>82368.9246787366</v>
      </c>
      <c r="O375" s="28">
        <f>SUM($M$3:M375)</f>
        <v>79470.022047077</v>
      </c>
      <c r="Q375">
        <f>MATCH(C375,Ground!$A$3:$A$1999,1)</f>
        <v>114</v>
      </c>
      <c r="R375">
        <f ca="1">OFFSET(Ground!$A$2,Volume!Q375,0)</f>
        <v>7390</v>
      </c>
      <c r="S375">
        <f ca="1">OFFSET(Ground!$A$2,Volume!Q375,1)</f>
        <v>623.691457</v>
      </c>
      <c r="T375">
        <f ca="1">OFFSET(Ground!$A$2,Volume!Q375+1,0)</f>
        <v>7420</v>
      </c>
      <c r="U375">
        <f ca="1">OFFSET(Ground!$A$2,Volume!Q375+1,1)</f>
        <v>623.536655</v>
      </c>
      <c r="V375" s="26"/>
      <c r="W375">
        <f t="shared" si="89"/>
        <v>-52.887971929220534</v>
      </c>
      <c r="X375">
        <f>IF(Volume!W375&lt;'Temp Calcs'!$E$8,1,0)</f>
        <v>1</v>
      </c>
      <c r="Z375">
        <f t="shared" si="90"/>
        <v>52.38863230959281</v>
      </c>
      <c r="AA375">
        <f>IF(Volume!Z375&gt;'Temp Calcs'!$L$8,1,0)</f>
        <v>1</v>
      </c>
      <c r="AB375" s="8"/>
      <c r="AC375" s="7"/>
    </row>
    <row r="376" spans="1:29" ht="12.75">
      <c r="A376" s="1">
        <v>375</v>
      </c>
      <c r="C376" s="7">
        <f t="shared" si="98"/>
        <v>7408.5</v>
      </c>
      <c r="D376" s="8">
        <f t="shared" si="96"/>
        <v>623.6431303255946</v>
      </c>
      <c r="E376" s="7">
        <f t="shared" si="100"/>
        <v>-0.660938763388064</v>
      </c>
      <c r="F376" s="7"/>
      <c r="G376">
        <f t="shared" si="101"/>
        <v>623.5959957666666</v>
      </c>
      <c r="H376" s="8">
        <f t="shared" si="102"/>
        <v>0.04713455892795082</v>
      </c>
      <c r="I376" s="30">
        <f>IF(H376&lt;1,(Data!$G$16+14+0.8*Data!$G$17+Data!$G$18*(1-H376))*(1-H376),(Data!$G$16+6+Data!$G$17*(H376-0.6))*(H376-0.6))</f>
        <v>27.733845094738598</v>
      </c>
      <c r="J376" s="28">
        <f t="shared" si="99"/>
        <v>124.42637329446393</v>
      </c>
      <c r="K376" t="str">
        <f t="shared" si="103"/>
        <v>Cut</v>
      </c>
      <c r="L376" s="28">
        <f t="shared" si="104"/>
        <v>124.42637329446393</v>
      </c>
      <c r="M376" s="28">
        <f t="shared" si="105"/>
        <v>0</v>
      </c>
      <c r="N376" s="28">
        <f>SUM($L$3:L376)</f>
        <v>82493.35105203107</v>
      </c>
      <c r="O376" s="28">
        <f>SUM($M$3:M376)</f>
        <v>79470.022047077</v>
      </c>
      <c r="Q376">
        <f>MATCH(C376,Ground!$A$3:$A$1999,1)</f>
        <v>114</v>
      </c>
      <c r="R376">
        <f ca="1">OFFSET(Ground!$A$2,Volume!Q376,0)</f>
        <v>7390</v>
      </c>
      <c r="S376">
        <f ca="1">OFFSET(Ground!$A$2,Volume!Q376,1)</f>
        <v>623.691457</v>
      </c>
      <c r="T376">
        <f ca="1">OFFSET(Ground!$A$2,Volume!Q376+1,0)</f>
        <v>7420</v>
      </c>
      <c r="U376">
        <f ca="1">OFFSET(Ground!$A$2,Volume!Q376+1,1)</f>
        <v>623.536655</v>
      </c>
      <c r="V376" s="26"/>
      <c r="W376">
        <f t="shared" si="89"/>
        <v>-53.13848580157651</v>
      </c>
      <c r="X376">
        <f>IF(Volume!W376&lt;'Temp Calcs'!$E$8,1,0)</f>
        <v>1</v>
      </c>
      <c r="Z376">
        <f t="shared" si="90"/>
        <v>52.63855100818815</v>
      </c>
      <c r="AA376">
        <f>IF(Volume!Z376&gt;'Temp Calcs'!$L$8,1,0)</f>
        <v>1</v>
      </c>
      <c r="AB376" s="8"/>
      <c r="AC376" s="7"/>
    </row>
    <row r="377" spans="1:29" ht="12.75">
      <c r="A377" s="1">
        <v>376</v>
      </c>
      <c r="C377" s="7">
        <f t="shared" si="98"/>
        <v>7413</v>
      </c>
      <c r="D377" s="8">
        <f t="shared" si="96"/>
        <v>623.6122556903467</v>
      </c>
      <c r="E377" s="7">
        <f t="shared" si="100"/>
        <v>-0.7112672476300782</v>
      </c>
      <c r="F377" s="7"/>
      <c r="G377">
        <f t="shared" si="101"/>
        <v>623.5727754666667</v>
      </c>
      <c r="H377" s="8">
        <f t="shared" si="102"/>
        <v>0.039480223680016024</v>
      </c>
      <c r="I377" s="30">
        <f>IF(H377&lt;1,(Data!$G$16+14+0.8*Data!$G$17+Data!$G$18*(1-H377))*(1-H377),(Data!$G$16+6+Data!$G$17*(H377-0.6))*(H377-0.6))</f>
        <v>27.971334397307146</v>
      </c>
      <c r="J377" s="28">
        <f t="shared" si="99"/>
        <v>125.33665385710293</v>
      </c>
      <c r="K377" t="str">
        <f t="shared" si="103"/>
        <v>Cut</v>
      </c>
      <c r="L377" s="28">
        <f t="shared" si="104"/>
        <v>125.33665385710293</v>
      </c>
      <c r="M377" s="28">
        <f t="shared" si="105"/>
        <v>0</v>
      </c>
      <c r="N377" s="28">
        <f>SUM($L$3:L377)</f>
        <v>82618.68770588817</v>
      </c>
      <c r="O377" s="28">
        <f>SUM($M$3:M377)</f>
        <v>79470.022047077</v>
      </c>
      <c r="Q377">
        <f>MATCH(C377,Ground!$A$3:$A$1999,1)</f>
        <v>114</v>
      </c>
      <c r="R377">
        <f ca="1">OFFSET(Ground!$A$2,Volume!Q377,0)</f>
        <v>7390</v>
      </c>
      <c r="S377">
        <f ca="1">OFFSET(Ground!$A$2,Volume!Q377,1)</f>
        <v>623.691457</v>
      </c>
      <c r="T377">
        <f ca="1">OFFSET(Ground!$A$2,Volume!Q377+1,0)</f>
        <v>7420</v>
      </c>
      <c r="U377">
        <f ca="1">OFFSET(Ground!$A$2,Volume!Q377+1,1)</f>
        <v>623.536655</v>
      </c>
      <c r="V377" s="26"/>
      <c r="W377">
        <f t="shared" si="89"/>
        <v>-53.394641561220794</v>
      </c>
      <c r="X377">
        <f>IF(Volume!W377&lt;'Temp Calcs'!$E$8,1,0)</f>
        <v>1</v>
      </c>
      <c r="Z377">
        <f t="shared" si="90"/>
        <v>52.89406288581345</v>
      </c>
      <c r="AA377">
        <f>IF(Volume!Z377&gt;'Temp Calcs'!$L$8,1,0)</f>
        <v>1</v>
      </c>
      <c r="AB377" s="8"/>
      <c r="AC377" s="7"/>
    </row>
    <row r="378" spans="1:29" ht="12.75">
      <c r="A378" s="1">
        <v>377</v>
      </c>
      <c r="C378" s="7">
        <f t="shared" si="98"/>
        <v>7417.5</v>
      </c>
      <c r="D378" s="8">
        <f t="shared" si="96"/>
        <v>623.5791162733078</v>
      </c>
      <c r="E378" s="7">
        <f t="shared" si="100"/>
        <v>-0.7615957318720924</v>
      </c>
      <c r="F378" s="7"/>
      <c r="G378">
        <f t="shared" si="101"/>
        <v>623.5495551666667</v>
      </c>
      <c r="H378" s="8">
        <f t="shared" si="102"/>
        <v>0.029561106641153856</v>
      </c>
      <c r="I378" s="30">
        <f>IF(H378&lt;1,(Data!$G$16+14+0.8*Data!$G$17+Data!$G$18*(1-H378))*(1-H378),(Data!$G$16+6+Data!$G$17*(H378-0.6))*(H378-0.6))</f>
        <v>28.2794411908477</v>
      </c>
      <c r="J378" s="28">
        <f t="shared" si="99"/>
        <v>126.5642450733484</v>
      </c>
      <c r="K378" t="str">
        <f t="shared" si="103"/>
        <v>Cut</v>
      </c>
      <c r="L378" s="28">
        <f t="shared" si="104"/>
        <v>126.5642450733484</v>
      </c>
      <c r="M378" s="28">
        <f t="shared" si="105"/>
        <v>0</v>
      </c>
      <c r="N378" s="28">
        <f>SUM($L$3:L378)</f>
        <v>82745.25195096151</v>
      </c>
      <c r="O378" s="28">
        <f>SUM($M$3:M378)</f>
        <v>79470.022047077</v>
      </c>
      <c r="Q378">
        <f>MATCH(C378,Ground!$A$3:$A$1999,1)</f>
        <v>114</v>
      </c>
      <c r="R378">
        <f ca="1">OFFSET(Ground!$A$2,Volume!Q378,0)</f>
        <v>7390</v>
      </c>
      <c r="S378">
        <f ca="1">OFFSET(Ground!$A$2,Volume!Q378,1)</f>
        <v>623.691457</v>
      </c>
      <c r="T378">
        <f ca="1">OFFSET(Ground!$A$2,Volume!Q378+1,0)</f>
        <v>7420</v>
      </c>
      <c r="U378">
        <f ca="1">OFFSET(Ground!$A$2,Volume!Q378+1,1)</f>
        <v>623.536655</v>
      </c>
      <c r="V378" s="26"/>
      <c r="W378">
        <f t="shared" si="89"/>
        <v>-53.656533738975526</v>
      </c>
      <c r="X378">
        <f>IF(Volume!W378&lt;'Temp Calcs'!$E$8,1,0)</f>
        <v>1</v>
      </c>
      <c r="Z378">
        <f t="shared" si="90"/>
        <v>53.15526210208641</v>
      </c>
      <c r="AA378">
        <f>IF(Volume!Z378&gt;'Temp Calcs'!$L$8,1,0)</f>
        <v>1</v>
      </c>
      <c r="AB378" s="8"/>
      <c r="AC378" s="7"/>
    </row>
    <row r="379" spans="1:29" ht="12.75">
      <c r="A379" s="1">
        <v>378</v>
      </c>
      <c r="C379" s="7">
        <f t="shared" si="98"/>
        <v>7422</v>
      </c>
      <c r="D379" s="8">
        <f t="shared" si="96"/>
        <v>623.5437120744782</v>
      </c>
      <c r="E379" s="7">
        <f t="shared" si="100"/>
        <v>-0.8119242161141068</v>
      </c>
      <c r="F379" s="7"/>
      <c r="G379">
        <f t="shared" si="101"/>
        <v>623.5208188666667</v>
      </c>
      <c r="H379" s="8">
        <f t="shared" si="102"/>
        <v>0.02289320781153492</v>
      </c>
      <c r="I379" s="30">
        <f>IF(H379&lt;1,(Data!$G$16+14+0.8*Data!$G$17+Data!$G$18*(1-H379))*(1-H379),(Data!$G$16+6+Data!$G$17*(H379-0.6))*(H379-0.6))</f>
        <v>28.486780114207914</v>
      </c>
      <c r="J379" s="28">
        <f t="shared" si="99"/>
        <v>127.72399793637513</v>
      </c>
      <c r="K379" t="str">
        <f t="shared" si="103"/>
        <v>Cut</v>
      </c>
      <c r="L379" s="28">
        <f t="shared" si="104"/>
        <v>127.72399793637513</v>
      </c>
      <c r="M379" s="28">
        <f t="shared" si="105"/>
        <v>0</v>
      </c>
      <c r="N379" s="28">
        <f>SUM($L$3:L379)</f>
        <v>82872.97594889789</v>
      </c>
      <c r="O379" s="28">
        <f>SUM($M$3:M379)</f>
        <v>79470.022047077</v>
      </c>
      <c r="Q379">
        <f>MATCH(C379,Ground!$A$3:$A$1999,1)</f>
        <v>115</v>
      </c>
      <c r="R379">
        <f ca="1">OFFSET(Ground!$A$2,Volume!Q379,0)</f>
        <v>7420</v>
      </c>
      <c r="S379">
        <f ca="1">OFFSET(Ground!$A$2,Volume!Q379,1)</f>
        <v>623.536655</v>
      </c>
      <c r="T379">
        <f ca="1">OFFSET(Ground!$A$2,Volume!Q379+1,0)</f>
        <v>7450</v>
      </c>
      <c r="U379">
        <f ca="1">OFFSET(Ground!$A$2,Volume!Q379+1,1)</f>
        <v>623.299113</v>
      </c>
      <c r="V379" s="26"/>
      <c r="W379">
        <f t="shared" si="89"/>
        <v>-53.92426063298524</v>
      </c>
      <c r="X379">
        <f>IF(Volume!W379&lt;'Temp Calcs'!$E$8,1,0)</f>
        <v>1</v>
      </c>
      <c r="Z379">
        <f t="shared" si="90"/>
        <v>53.42224655405846</v>
      </c>
      <c r="AA379">
        <f>IF(Volume!Z379&gt;'Temp Calcs'!$L$8,1,0)</f>
        <v>1</v>
      </c>
      <c r="AB379" s="8"/>
      <c r="AC379" s="7"/>
    </row>
    <row r="380" spans="1:29" ht="12.75">
      <c r="A380" s="1">
        <v>379</v>
      </c>
      <c r="C380" s="7">
        <f t="shared" si="98"/>
        <v>7426.5</v>
      </c>
      <c r="D380" s="8">
        <f t="shared" si="96"/>
        <v>623.5060430938577</v>
      </c>
      <c r="E380" s="7">
        <f t="shared" si="100"/>
        <v>-0.8622527003561212</v>
      </c>
      <c r="F380" s="7"/>
      <c r="G380">
        <f t="shared" si="101"/>
        <v>623.4851875666667</v>
      </c>
      <c r="H380" s="8">
        <f t="shared" si="102"/>
        <v>0.0208555271909745</v>
      </c>
      <c r="I380" s="30">
        <f>IF(H380&lt;1,(Data!$G$16+14+0.8*Data!$G$17+Data!$G$18*(1-H380))*(1-H380),(Data!$G$16+6+Data!$G$17*(H380-0.6))*(H380-0.6))</f>
        <v>28.550177457670422</v>
      </c>
      <c r="J380" s="28">
        <f t="shared" si="99"/>
        <v>128.33315453672625</v>
      </c>
      <c r="K380" t="str">
        <f t="shared" si="103"/>
        <v>Cut</v>
      </c>
      <c r="L380" s="28">
        <f t="shared" si="104"/>
        <v>128.33315453672625</v>
      </c>
      <c r="M380" s="28">
        <f t="shared" si="105"/>
        <v>0</v>
      </c>
      <c r="N380" s="28">
        <f>SUM($L$3:L380)</f>
        <v>83001.30910343461</v>
      </c>
      <c r="O380" s="28">
        <f>SUM($M$3:M380)</f>
        <v>79470.022047077</v>
      </c>
      <c r="Q380">
        <f>MATCH(C380,Ground!$A$3:$A$1999,1)</f>
        <v>115</v>
      </c>
      <c r="R380">
        <f ca="1">OFFSET(Ground!$A$2,Volume!Q380,0)</f>
        <v>7420</v>
      </c>
      <c r="S380">
        <f ca="1">OFFSET(Ground!$A$2,Volume!Q380,1)</f>
        <v>623.536655</v>
      </c>
      <c r="T380">
        <f ca="1">OFFSET(Ground!$A$2,Volume!Q380+1,0)</f>
        <v>7450</v>
      </c>
      <c r="U380">
        <f ca="1">OFFSET(Ground!$A$2,Volume!Q380+1,1)</f>
        <v>623.299113</v>
      </c>
      <c r="V380" s="26"/>
      <c r="W380">
        <f t="shared" si="89"/>
        <v>-54.19792442815544</v>
      </c>
      <c r="X380">
        <f>IF(Volume!W380&lt;'Temp Calcs'!$E$8,1,0)</f>
        <v>1</v>
      </c>
      <c r="Z380">
        <f t="shared" si="90"/>
        <v>53.695117995065225</v>
      </c>
      <c r="AA380">
        <f>IF(Volume!Z380&gt;'Temp Calcs'!$L$8,1,0)</f>
        <v>1</v>
      </c>
      <c r="AB380" s="8"/>
      <c r="AC380" s="7"/>
    </row>
    <row r="381" spans="1:29" ht="12.75">
      <c r="A381" s="1">
        <v>380</v>
      </c>
      <c r="C381" s="7">
        <f t="shared" si="98"/>
        <v>7431</v>
      </c>
      <c r="D381" s="8">
        <f t="shared" si="96"/>
        <v>623.4661093314462</v>
      </c>
      <c r="E381" s="7">
        <f t="shared" si="100"/>
        <v>-0.9125811845981354</v>
      </c>
      <c r="F381" s="7"/>
      <c r="G381">
        <f t="shared" si="101"/>
        <v>623.4495562666667</v>
      </c>
      <c r="H381" s="8">
        <f t="shared" si="102"/>
        <v>0.016553064779486704</v>
      </c>
      <c r="I381" s="30">
        <f>IF(H381&lt;1,(Data!$G$16+14+0.8*Data!$G$17+Data!$G$18*(1-H381))*(1-H381),(Data!$G$16+6+Data!$G$17*(H381-0.6))*(H381-0.6))</f>
        <v>28.684092386787203</v>
      </c>
      <c r="J381" s="28">
        <f t="shared" si="99"/>
        <v>128.77710715002968</v>
      </c>
      <c r="K381" t="str">
        <f t="shared" si="103"/>
        <v>Cut</v>
      </c>
      <c r="L381" s="28">
        <f t="shared" si="104"/>
        <v>128.77710715002968</v>
      </c>
      <c r="M381" s="28">
        <f t="shared" si="105"/>
        <v>0</v>
      </c>
      <c r="N381" s="28">
        <f>SUM($L$3:L381)</f>
        <v>83130.08621058465</v>
      </c>
      <c r="O381" s="28">
        <f>SUM($M$3:M381)</f>
        <v>79470.022047077</v>
      </c>
      <c r="Q381">
        <f>MATCH(C381,Ground!$A$3:$A$1999,1)</f>
        <v>115</v>
      </c>
      <c r="R381">
        <f ca="1">OFFSET(Ground!$A$2,Volume!Q381,0)</f>
        <v>7420</v>
      </c>
      <c r="S381">
        <f ca="1">OFFSET(Ground!$A$2,Volume!Q381,1)</f>
        <v>623.536655</v>
      </c>
      <c r="T381">
        <f ca="1">OFFSET(Ground!$A$2,Volume!Q381+1,0)</f>
        <v>7450</v>
      </c>
      <c r="U381">
        <f ca="1">OFFSET(Ground!$A$2,Volume!Q381+1,1)</f>
        <v>623.299113</v>
      </c>
      <c r="V381" s="26"/>
      <c r="W381">
        <f t="shared" si="89"/>
        <v>-54.47763132215986</v>
      </c>
      <c r="X381">
        <f>IF(Volume!W381&lt;'Temp Calcs'!$E$8,1,0)</f>
        <v>1</v>
      </c>
      <c r="Z381">
        <f t="shared" si="90"/>
        <v>53.97398216009704</v>
      </c>
      <c r="AA381">
        <f>IF(Volume!Z381&gt;'Temp Calcs'!$L$8,1,0)</f>
        <v>1</v>
      </c>
      <c r="AB381" s="8"/>
      <c r="AC381" s="7"/>
    </row>
    <row r="382" spans="1:29" ht="12.75">
      <c r="A382" s="1">
        <v>381</v>
      </c>
      <c r="C382" s="7">
        <f t="shared" si="98"/>
        <v>7435.5</v>
      </c>
      <c r="D382" s="8">
        <f t="shared" si="96"/>
        <v>623.4239107872437</v>
      </c>
      <c r="E382" s="7">
        <f t="shared" si="100"/>
        <v>-0.9629096688401496</v>
      </c>
      <c r="F382" s="7"/>
      <c r="G382">
        <f t="shared" si="101"/>
        <v>623.4139249666666</v>
      </c>
      <c r="H382" s="8">
        <f t="shared" si="102"/>
        <v>0.009985820577071536</v>
      </c>
      <c r="I382" s="30">
        <f>IF(H382&lt;1,(Data!$G$16+14+0.8*Data!$G$17+Data!$G$18*(1-H382))*(1-H382),(Data!$G$16+6+Data!$G$17*(H382-0.6))*(H382-0.6))</f>
        <v>28.88864183122056</v>
      </c>
      <c r="J382" s="28">
        <f t="shared" si="99"/>
        <v>129.53865199051748</v>
      </c>
      <c r="K382" t="str">
        <f t="shared" si="103"/>
        <v>Cut</v>
      </c>
      <c r="L382" s="28">
        <f t="shared" si="104"/>
        <v>129.53865199051748</v>
      </c>
      <c r="M382" s="28">
        <f t="shared" si="105"/>
        <v>0</v>
      </c>
      <c r="N382" s="28">
        <f>SUM($L$3:L382)</f>
        <v>83259.62486257516</v>
      </c>
      <c r="O382" s="28">
        <f>SUM($M$3:M382)</f>
        <v>79470.022047077</v>
      </c>
      <c r="Q382">
        <f>MATCH(C382,Ground!$A$3:$A$1999,1)</f>
        <v>115</v>
      </c>
      <c r="R382">
        <f ca="1">OFFSET(Ground!$A$2,Volume!Q382,0)</f>
        <v>7420</v>
      </c>
      <c r="S382">
        <f ca="1">OFFSET(Ground!$A$2,Volume!Q382,1)</f>
        <v>623.536655</v>
      </c>
      <c r="T382">
        <f ca="1">OFFSET(Ground!$A$2,Volume!Q382+1,0)</f>
        <v>7450</v>
      </c>
      <c r="U382">
        <f ca="1">OFFSET(Ground!$A$2,Volume!Q382+1,1)</f>
        <v>623.299113</v>
      </c>
      <c r="V382" s="26"/>
      <c r="W382">
        <f t="shared" si="89"/>
        <v>-54.76349165834319</v>
      </c>
      <c r="X382">
        <f>IF(Volume!W382&lt;'Temp Calcs'!$E$8,1,0)</f>
        <v>1</v>
      </c>
      <c r="Z382">
        <f t="shared" si="90"/>
        <v>54.25894889801481</v>
      </c>
      <c r="AA382">
        <f>IF(Volume!Z382&gt;'Temp Calcs'!$L$8,1,0)</f>
        <v>1</v>
      </c>
      <c r="AB382" s="8"/>
      <c r="AC382" s="7"/>
    </row>
    <row r="383" spans="1:29" ht="12.75">
      <c r="A383" s="1">
        <v>382</v>
      </c>
      <c r="C383" s="7">
        <f t="shared" si="98"/>
        <v>7440</v>
      </c>
      <c r="D383" s="8">
        <f t="shared" si="96"/>
        <v>623.3794474612505</v>
      </c>
      <c r="E383" s="7">
        <f t="shared" si="100"/>
        <v>-1.0132381530821637</v>
      </c>
      <c r="F383" s="7"/>
      <c r="G383">
        <f t="shared" si="101"/>
        <v>623.3782936666667</v>
      </c>
      <c r="H383" s="8">
        <f t="shared" si="102"/>
        <v>0.0011537945838426822</v>
      </c>
      <c r="I383" s="30">
        <f>IF(H383&lt;1,(Data!$G$16+14+0.8*Data!$G$17+Data!$G$18*(1-H383))*(1-H383),(Data!$G$16+6+Data!$G$17*(H383-0.6))*(H383-0.6))</f>
        <v>29.16400427146799</v>
      </c>
      <c r="J383" s="28">
        <f t="shared" si="99"/>
        <v>130.61845373104924</v>
      </c>
      <c r="K383" t="str">
        <f t="shared" si="103"/>
        <v>Cut</v>
      </c>
      <c r="L383" s="28">
        <f t="shared" si="104"/>
        <v>130.61845373104924</v>
      </c>
      <c r="M383" s="28">
        <f t="shared" si="105"/>
        <v>0</v>
      </c>
      <c r="N383" s="28">
        <f>SUM($L$3:L383)</f>
        <v>83390.24331630621</v>
      </c>
      <c r="O383" s="28">
        <f>SUM($M$3:M383)</f>
        <v>79470.022047077</v>
      </c>
      <c r="Q383">
        <f>MATCH(C383,Ground!$A$3:$A$1999,1)</f>
        <v>115</v>
      </c>
      <c r="R383">
        <f ca="1">OFFSET(Ground!$A$2,Volume!Q383,0)</f>
        <v>7420</v>
      </c>
      <c r="S383">
        <f ca="1">OFFSET(Ground!$A$2,Volume!Q383,1)</f>
        <v>623.536655</v>
      </c>
      <c r="T383">
        <f ca="1">OFFSET(Ground!$A$2,Volume!Q383+1,0)</f>
        <v>7450</v>
      </c>
      <c r="U383">
        <f ca="1">OFFSET(Ground!$A$2,Volume!Q383+1,1)</f>
        <v>623.299113</v>
      </c>
      <c r="V383" s="26"/>
      <c r="W383">
        <f t="shared" si="89"/>
        <v>-55.055620065857774</v>
      </c>
      <c r="X383">
        <f>IF(Volume!W383&lt;'Temp Calcs'!$E$8,1,0)</f>
        <v>1</v>
      </c>
      <c r="Z383">
        <f t="shared" si="90"/>
        <v>54.55013231094741</v>
      </c>
      <c r="AA383">
        <f>IF(Volume!Z383&gt;'Temp Calcs'!$L$8,1,0)</f>
        <v>1</v>
      </c>
      <c r="AB383" s="8"/>
      <c r="AC383" s="7"/>
    </row>
    <row r="384" spans="1:29" ht="12.75">
      <c r="A384" s="1">
        <v>383</v>
      </c>
      <c r="C384" s="7">
        <f t="shared" si="98"/>
        <v>7444.5</v>
      </c>
      <c r="D384" s="8">
        <f t="shared" si="96"/>
        <v>623.3327193534664</v>
      </c>
      <c r="E384" s="7">
        <f t="shared" si="100"/>
        <v>-1.0635666373241786</v>
      </c>
      <c r="F384" s="7"/>
      <c r="G384">
        <f t="shared" si="101"/>
        <v>623.3426623666667</v>
      </c>
      <c r="H384" s="8">
        <f t="shared" si="102"/>
        <v>-0.009943013200313544</v>
      </c>
      <c r="I384" s="30">
        <f>IF(H384&lt;1,(Data!$G$16+14+0.8*Data!$G$17+Data!$G$18*(1-H384))*(1-H384),(Data!$G$16+6+Data!$G$17*(H384-0.6))*(H384-0.6))</f>
        <v>29.510419738872784</v>
      </c>
      <c r="J384" s="28">
        <f t="shared" si="99"/>
        <v>132.01745402326674</v>
      </c>
      <c r="K384" t="str">
        <f t="shared" si="103"/>
        <v>Cut</v>
      </c>
      <c r="L384" s="28">
        <f t="shared" si="104"/>
        <v>132.01745402326674</v>
      </c>
      <c r="M384" s="28">
        <f t="shared" si="105"/>
        <v>0</v>
      </c>
      <c r="N384" s="28">
        <f>SUM($L$3:L384)</f>
        <v>83522.26077032948</v>
      </c>
      <c r="O384" s="28">
        <f>SUM($M$3:M384)</f>
        <v>79470.022047077</v>
      </c>
      <c r="Q384">
        <f>MATCH(C384,Ground!$A$3:$A$1999,1)</f>
        <v>115</v>
      </c>
      <c r="R384">
        <f ca="1">OFFSET(Ground!$A$2,Volume!Q384,0)</f>
        <v>7420</v>
      </c>
      <c r="S384">
        <f ca="1">OFFSET(Ground!$A$2,Volume!Q384,1)</f>
        <v>623.536655</v>
      </c>
      <c r="T384">
        <f ca="1">OFFSET(Ground!$A$2,Volume!Q384+1,0)</f>
        <v>7450</v>
      </c>
      <c r="U384">
        <f ca="1">OFFSET(Ground!$A$2,Volume!Q384+1,1)</f>
        <v>623.299113</v>
      </c>
      <c r="V384" s="26"/>
      <c r="W384">
        <f t="shared" si="89"/>
        <v>-55.354135607406405</v>
      </c>
      <c r="X384">
        <f>IF(Volume!W384&lt;'Temp Calcs'!$E$8,1,0)</f>
        <v>1</v>
      </c>
      <c r="Z384">
        <f t="shared" si="90"/>
        <v>54.84765090124099</v>
      </c>
      <c r="AA384">
        <f>IF(Volume!Z384&gt;'Temp Calcs'!$L$8,1,0)</f>
        <v>1</v>
      </c>
      <c r="AB384" s="8"/>
      <c r="AC384" s="7"/>
    </row>
    <row r="385" spans="1:29" ht="12.75">
      <c r="A385" s="1">
        <v>384</v>
      </c>
      <c r="C385" s="7">
        <f t="shared" si="98"/>
        <v>7449</v>
      </c>
      <c r="D385" s="8">
        <f t="shared" si="96"/>
        <v>623.2837264638913</v>
      </c>
      <c r="E385" s="7">
        <f t="shared" si="100"/>
        <v>-1.1138951215661925</v>
      </c>
      <c r="F385" s="7"/>
      <c r="G385">
        <f t="shared" si="101"/>
        <v>623.3070310666667</v>
      </c>
      <c r="H385" s="8">
        <f t="shared" si="102"/>
        <v>-0.023304602775397143</v>
      </c>
      <c r="I385" s="30">
        <f>IF(H385&lt;1,(Data!$G$16+14+0.8*Data!$G$17+Data!$G$18*(1-H385))*(1-H385),(Data!$G$16+6+Data!$G$17*(H385-0.6))*(H385-0.6))</f>
        <v>29.92818981561343</v>
      </c>
      <c r="J385" s="28">
        <f t="shared" si="99"/>
        <v>133.73687149759397</v>
      </c>
      <c r="K385" t="str">
        <f t="shared" si="103"/>
        <v>Cut</v>
      </c>
      <c r="L385" s="28">
        <f t="shared" si="104"/>
        <v>133.73687149759397</v>
      </c>
      <c r="M385" s="28">
        <f t="shared" si="105"/>
        <v>0</v>
      </c>
      <c r="N385" s="28">
        <f>SUM($L$3:L385)</f>
        <v>83655.99764182707</v>
      </c>
      <c r="O385" s="28">
        <f>SUM($M$3:M385)</f>
        <v>79470.022047077</v>
      </c>
      <c r="Q385">
        <f>MATCH(C385,Ground!$A$3:$A$1999,1)</f>
        <v>115</v>
      </c>
      <c r="R385">
        <f ca="1">OFFSET(Ground!$A$2,Volume!Q385,0)</f>
        <v>7420</v>
      </c>
      <c r="S385">
        <f ca="1">OFFSET(Ground!$A$2,Volume!Q385,1)</f>
        <v>623.536655</v>
      </c>
      <c r="T385">
        <f ca="1">OFFSET(Ground!$A$2,Volume!Q385+1,0)</f>
        <v>7450</v>
      </c>
      <c r="U385">
        <f ca="1">OFFSET(Ground!$A$2,Volume!Q385+1,1)</f>
        <v>623.299113</v>
      </c>
      <c r="V385" s="26"/>
      <c r="W385">
        <f t="shared" si="89"/>
        <v>-55.65916193497582</v>
      </c>
      <c r="X385">
        <f>IF(Volume!W385&lt;'Temp Calcs'!$E$8,1,0)</f>
        <v>1</v>
      </c>
      <c r="Z385">
        <f t="shared" si="90"/>
        <v>55.151627726342234</v>
      </c>
      <c r="AA385">
        <f>IF(Volume!Z385&gt;'Temp Calcs'!$L$8,1,0)</f>
        <v>1</v>
      </c>
      <c r="AB385" s="8"/>
      <c r="AC385" s="7"/>
    </row>
    <row r="386" spans="1:29" ht="12.75">
      <c r="A386" s="1">
        <v>385</v>
      </c>
      <c r="C386" s="7">
        <f t="shared" si="98"/>
        <v>7453.5</v>
      </c>
      <c r="D386" s="8">
        <f t="shared" si="96"/>
        <v>623.2324687925254</v>
      </c>
      <c r="E386" s="7">
        <f t="shared" si="100"/>
        <v>-1.164223605808207</v>
      </c>
      <c r="F386" s="7"/>
      <c r="G386">
        <f t="shared" si="101"/>
        <v>623.2607756333333</v>
      </c>
      <c r="H386" s="8">
        <f t="shared" si="102"/>
        <v>-0.028306840807886147</v>
      </c>
      <c r="I386" s="30">
        <f>IF(H386&lt;1,(Data!$G$16+14+0.8*Data!$G$17+Data!$G$18*(1-H386))*(1-H386),(Data!$G$16+6+Data!$G$17*(H386-0.6))*(H386-0.6))</f>
        <v>30.084775987679095</v>
      </c>
      <c r="J386" s="28">
        <f t="shared" si="99"/>
        <v>135.02917305740817</v>
      </c>
      <c r="K386" t="str">
        <f t="shared" si="103"/>
        <v>Cut</v>
      </c>
      <c r="L386" s="28">
        <f t="shared" si="104"/>
        <v>135.02917305740817</v>
      </c>
      <c r="M386" s="28">
        <f t="shared" si="105"/>
        <v>0</v>
      </c>
      <c r="N386" s="28">
        <f>SUM($L$3:L386)</f>
        <v>83791.02681488448</v>
      </c>
      <c r="O386" s="28">
        <f>SUM($M$3:M386)</f>
        <v>79470.022047077</v>
      </c>
      <c r="Q386">
        <f>MATCH(C386,Ground!$A$3:$A$1999,1)</f>
        <v>116</v>
      </c>
      <c r="R386">
        <f ca="1">OFFSET(Ground!$A$2,Volume!Q386,0)</f>
        <v>7450</v>
      </c>
      <c r="S386">
        <f ca="1">OFFSET(Ground!$A$2,Volume!Q386,1)</f>
        <v>623.299113</v>
      </c>
      <c r="T386">
        <f ca="1">OFFSET(Ground!$A$2,Volume!Q386+1,0)</f>
        <v>7480</v>
      </c>
      <c r="U386">
        <f ca="1">OFFSET(Ground!$A$2,Volume!Q386+1,1)</f>
        <v>622.970507</v>
      </c>
      <c r="V386" s="26"/>
      <c r="W386">
        <f t="shared" si="89"/>
        <v>-55.97082745398639</v>
      </c>
      <c r="X386">
        <f>IF(Volume!W386&lt;'Temp Calcs'!$E$8,1,0)</f>
        <v>1</v>
      </c>
      <c r="Z386">
        <f t="shared" si="90"/>
        <v>55.46219056203882</v>
      </c>
      <c r="AA386">
        <f>IF(Volume!Z386&gt;'Temp Calcs'!$L$8,1,0)</f>
        <v>1</v>
      </c>
      <c r="AB386" s="8"/>
      <c r="AC386" s="7"/>
    </row>
    <row r="387" spans="1:29" ht="12.75">
      <c r="A387" s="1">
        <v>386</v>
      </c>
      <c r="C387" s="7">
        <f t="shared" si="98"/>
        <v>7458</v>
      </c>
      <c r="D387" s="8">
        <f t="shared" si="96"/>
        <v>623.1789463393686</v>
      </c>
      <c r="E387" s="7">
        <f t="shared" si="100"/>
        <v>-1.214552090050221</v>
      </c>
      <c r="F387" s="7"/>
      <c r="G387">
        <f t="shared" si="101"/>
        <v>623.2114847333334</v>
      </c>
      <c r="H387" s="8">
        <f t="shared" si="102"/>
        <v>-0.03253839396472813</v>
      </c>
      <c r="I387" s="30">
        <f>IF(H387&lt;1,(Data!$G$16+14+0.8*Data!$G$17+Data!$G$18*(1-H387))*(1-H387),(Data!$G$16+6+Data!$G$17*(H387-0.6))*(H387-0.6))</f>
        <v>30.217315385863124</v>
      </c>
      <c r="J387" s="28">
        <f t="shared" si="99"/>
        <v>135.67970559046998</v>
      </c>
      <c r="K387" t="str">
        <f t="shared" si="103"/>
        <v>Cut</v>
      </c>
      <c r="L387" s="28">
        <f t="shared" si="104"/>
        <v>135.67970559046998</v>
      </c>
      <c r="M387" s="28">
        <f t="shared" si="105"/>
        <v>0</v>
      </c>
      <c r="N387" s="28">
        <f>SUM($L$3:L387)</f>
        <v>83926.70652047495</v>
      </c>
      <c r="O387" s="28">
        <f>SUM($M$3:M387)</f>
        <v>79470.022047077</v>
      </c>
      <c r="Q387">
        <f>MATCH(C387,Ground!$A$3:$A$1999,1)</f>
        <v>116</v>
      </c>
      <c r="R387">
        <f ca="1">OFFSET(Ground!$A$2,Volume!Q387,0)</f>
        <v>7450</v>
      </c>
      <c r="S387">
        <f ca="1">OFFSET(Ground!$A$2,Volume!Q387,1)</f>
        <v>623.299113</v>
      </c>
      <c r="T387">
        <f ca="1">OFFSET(Ground!$A$2,Volume!Q387+1,0)</f>
        <v>7480</v>
      </c>
      <c r="U387">
        <f ca="1">OFFSET(Ground!$A$2,Volume!Q387+1,1)</f>
        <v>622.970507</v>
      </c>
      <c r="V387" s="26"/>
      <c r="W387">
        <f aca="true" t="shared" si="106" ref="W387:W450">($W$1-C387)/(D387-$X$1)</f>
        <v>-56.289265496305084</v>
      </c>
      <c r="X387">
        <f>IF(Volume!W387&lt;'Temp Calcs'!$E$8,1,0)</f>
        <v>1</v>
      </c>
      <c r="Z387">
        <f aca="true" t="shared" si="107" ref="Z387:Z450">(C387-$Z$1)/(D387-$AA$1)</f>
        <v>55.7794720745014</v>
      </c>
      <c r="AA387">
        <f>IF(Volume!Z387&gt;'Temp Calcs'!$L$8,1,0)</f>
        <v>1</v>
      </c>
      <c r="AB387" s="8"/>
      <c r="AC387" s="7"/>
    </row>
    <row r="388" spans="1:29" ht="12.75">
      <c r="A388" s="1">
        <v>387</v>
      </c>
      <c r="C388" s="7">
        <f t="shared" si="98"/>
        <v>7462.5</v>
      </c>
      <c r="D388" s="8">
        <f t="shared" si="96"/>
        <v>623.1231591044209</v>
      </c>
      <c r="E388" s="7">
        <f t="shared" si="100"/>
        <v>-1.2648805742922353</v>
      </c>
      <c r="F388" s="7"/>
      <c r="G388">
        <f t="shared" si="101"/>
        <v>623.1621938333334</v>
      </c>
      <c r="H388" s="8">
        <f t="shared" si="102"/>
        <v>-0.039034728912497485</v>
      </c>
      <c r="I388" s="30">
        <f>IF(H388&lt;1,(Data!$G$16+14+0.8*Data!$G$17+Data!$G$18*(1-H388))*(1-H388),(Data!$G$16+6+Data!$G$17*(H388-0.6))*(H388-0.6))</f>
        <v>30.420930962192465</v>
      </c>
      <c r="J388" s="28">
        <f t="shared" si="99"/>
        <v>136.4360542831251</v>
      </c>
      <c r="K388" t="str">
        <f t="shared" si="103"/>
        <v>Cut</v>
      </c>
      <c r="L388" s="28">
        <f t="shared" si="104"/>
        <v>136.4360542831251</v>
      </c>
      <c r="M388" s="28">
        <f t="shared" si="105"/>
        <v>0</v>
      </c>
      <c r="N388" s="28">
        <f>SUM($L$3:L388)</f>
        <v>84063.14257475808</v>
      </c>
      <c r="O388" s="28">
        <f>SUM($M$3:M388)</f>
        <v>79470.022047077</v>
      </c>
      <c r="Q388">
        <f>MATCH(C388,Ground!$A$3:$A$1999,1)</f>
        <v>116</v>
      </c>
      <c r="R388">
        <f ca="1">OFFSET(Ground!$A$2,Volume!Q388,0)</f>
        <v>7450</v>
      </c>
      <c r="S388">
        <f ca="1">OFFSET(Ground!$A$2,Volume!Q388,1)</f>
        <v>623.299113</v>
      </c>
      <c r="T388">
        <f ca="1">OFFSET(Ground!$A$2,Volume!Q388+1,0)</f>
        <v>7480</v>
      </c>
      <c r="U388">
        <f ca="1">OFFSET(Ground!$A$2,Volume!Q388+1,1)</f>
        <v>622.970507</v>
      </c>
      <c r="V388" s="26"/>
      <c r="W388">
        <f t="shared" si="106"/>
        <v>-56.61461450259952</v>
      </c>
      <c r="X388">
        <f>IF(Volume!W388&lt;'Temp Calcs'!$E$8,1,0)</f>
        <v>1</v>
      </c>
      <c r="Z388">
        <f t="shared" si="107"/>
        <v>56.103610001602</v>
      </c>
      <c r="AA388">
        <f>IF(Volume!Z388&gt;'Temp Calcs'!$L$8,1,0)</f>
        <v>1</v>
      </c>
      <c r="AB388" s="8"/>
      <c r="AC388" s="7"/>
    </row>
    <row r="389" spans="1:29" ht="12.75">
      <c r="A389" s="1">
        <v>388</v>
      </c>
      <c r="C389" s="7">
        <f t="shared" si="98"/>
        <v>7467</v>
      </c>
      <c r="D389" s="8">
        <f t="shared" si="96"/>
        <v>623.0651070876822</v>
      </c>
      <c r="E389" s="7">
        <f t="shared" si="100"/>
        <v>-1.3152090585342497</v>
      </c>
      <c r="F389" s="7"/>
      <c r="G389">
        <f t="shared" si="101"/>
        <v>623.1129029333333</v>
      </c>
      <c r="H389" s="8">
        <f t="shared" si="102"/>
        <v>-0.047795845651080526</v>
      </c>
      <c r="I389" s="30">
        <f>IF(H389&lt;1,(Data!$G$16+14+0.8*Data!$G$17+Data!$G$18*(1-H389))*(1-H389),(Data!$G$16+6+Data!$G$17*(H389-0.6))*(H389-0.6))</f>
        <v>30.695799270036716</v>
      </c>
      <c r="J389" s="28">
        <f t="shared" si="99"/>
        <v>137.51264302251565</v>
      </c>
      <c r="K389" t="str">
        <f t="shared" si="103"/>
        <v>Cut</v>
      </c>
      <c r="L389" s="28">
        <f t="shared" si="104"/>
        <v>137.51264302251565</v>
      </c>
      <c r="M389" s="28">
        <f t="shared" si="105"/>
        <v>0</v>
      </c>
      <c r="N389" s="28">
        <f>SUM($L$3:L389)</f>
        <v>84200.6552177806</v>
      </c>
      <c r="O389" s="28">
        <f>SUM($M$3:M389)</f>
        <v>79470.022047077</v>
      </c>
      <c r="Q389">
        <f>MATCH(C389,Ground!$A$3:$A$1999,1)</f>
        <v>116</v>
      </c>
      <c r="R389">
        <f ca="1">OFFSET(Ground!$A$2,Volume!Q389,0)</f>
        <v>7450</v>
      </c>
      <c r="S389">
        <f ca="1">OFFSET(Ground!$A$2,Volume!Q389,1)</f>
        <v>623.299113</v>
      </c>
      <c r="T389">
        <f ca="1">OFFSET(Ground!$A$2,Volume!Q389+1,0)</f>
        <v>7480</v>
      </c>
      <c r="U389">
        <f ca="1">OFFSET(Ground!$A$2,Volume!Q389+1,1)</f>
        <v>622.970507</v>
      </c>
      <c r="V389" s="26"/>
      <c r="W389">
        <f t="shared" si="106"/>
        <v>-56.947018214548905</v>
      </c>
      <c r="X389">
        <f>IF(Volume!W389&lt;'Temp Calcs'!$E$8,1,0)</f>
        <v>1</v>
      </c>
      <c r="Z389">
        <f t="shared" si="107"/>
        <v>56.4347473440217</v>
      </c>
      <c r="AA389">
        <f>IF(Volume!Z389&gt;'Temp Calcs'!$L$8,1,0)</f>
        <v>1</v>
      </c>
      <c r="AB389" s="8"/>
      <c r="AC389" s="7"/>
    </row>
    <row r="390" spans="1:29" ht="12.75">
      <c r="A390" s="1">
        <v>389</v>
      </c>
      <c r="C390" s="7">
        <f t="shared" si="98"/>
        <v>7471.5</v>
      </c>
      <c r="D390" s="8">
        <f t="shared" si="96"/>
        <v>623.0047902891528</v>
      </c>
      <c r="E390" s="7">
        <f t="shared" si="100"/>
        <v>-1.3655375427762642</v>
      </c>
      <c r="F390" s="7"/>
      <c r="G390">
        <f t="shared" si="101"/>
        <v>623.0636120333334</v>
      </c>
      <c r="H390" s="8">
        <f t="shared" si="102"/>
        <v>-0.05882174418059094</v>
      </c>
      <c r="I390" s="30">
        <f>IF(H390&lt;1,(Data!$G$16+14+0.8*Data!$G$17+Data!$G$18*(1-H390))*(1-H390),(Data!$G$16+6+Data!$G$17*(H390-0.6))*(H390-0.6))</f>
        <v>31.04215841361133</v>
      </c>
      <c r="J390" s="28">
        <f t="shared" si="99"/>
        <v>138.9104047882081</v>
      </c>
      <c r="K390" t="str">
        <f t="shared" si="103"/>
        <v>Cut</v>
      </c>
      <c r="L390" s="28">
        <f t="shared" si="104"/>
        <v>138.9104047882081</v>
      </c>
      <c r="M390" s="28">
        <f t="shared" si="105"/>
        <v>0</v>
      </c>
      <c r="N390" s="28">
        <f>SUM($L$3:L390)</f>
        <v>84339.56562256881</v>
      </c>
      <c r="O390" s="28">
        <f>SUM($M$3:M390)</f>
        <v>79470.022047077</v>
      </c>
      <c r="Q390">
        <f>MATCH(C390,Ground!$A$3:$A$1999,1)</f>
        <v>116</v>
      </c>
      <c r="R390">
        <f ca="1">OFFSET(Ground!$A$2,Volume!Q390,0)</f>
        <v>7450</v>
      </c>
      <c r="S390">
        <f ca="1">OFFSET(Ground!$A$2,Volume!Q390,1)</f>
        <v>623.299113</v>
      </c>
      <c r="T390">
        <f ca="1">OFFSET(Ground!$A$2,Volume!Q390+1,0)</f>
        <v>7480</v>
      </c>
      <c r="U390">
        <f ca="1">OFFSET(Ground!$A$2,Volume!Q390+1,1)</f>
        <v>622.970507</v>
      </c>
      <c r="V390" s="26"/>
      <c r="W390">
        <f t="shared" si="106"/>
        <v>-57.28662587745975</v>
      </c>
      <c r="X390">
        <f>IF(Volume!W390&lt;'Temp Calcs'!$E$8,1,0)</f>
        <v>1</v>
      </c>
      <c r="Z390">
        <f t="shared" si="107"/>
        <v>56.773032566692</v>
      </c>
      <c r="AA390">
        <f>IF(Volume!Z390&gt;'Temp Calcs'!$L$8,1,0)</f>
        <v>1</v>
      </c>
      <c r="AB390" s="8"/>
      <c r="AC390" s="7"/>
    </row>
    <row r="391" spans="1:29" ht="12.75">
      <c r="A391" s="1">
        <v>390</v>
      </c>
      <c r="C391" s="7">
        <f t="shared" si="98"/>
        <v>7476</v>
      </c>
      <c r="D391" s="8">
        <f t="shared" si="96"/>
        <v>622.9422087088325</v>
      </c>
      <c r="E391" s="7">
        <f t="shared" si="100"/>
        <v>-1.4158660270182781</v>
      </c>
      <c r="F391" s="7"/>
      <c r="G391">
        <f t="shared" si="101"/>
        <v>623.0143211333333</v>
      </c>
      <c r="H391" s="8">
        <f t="shared" si="102"/>
        <v>-0.07211242450080135</v>
      </c>
      <c r="I391" s="30">
        <f>IF(H391&lt;1,(Data!$G$16+14+0.8*Data!$G$17+Data!$G$18*(1-H391))*(1-H391),(Data!$G$16+6+Data!$G$17*(H391-0.6))*(H391-0.6))</f>
        <v>31.46030804795977</v>
      </c>
      <c r="J391" s="28">
        <f t="shared" si="99"/>
        <v>140.63054953853498</v>
      </c>
      <c r="K391" t="str">
        <f t="shared" si="103"/>
        <v>Cut</v>
      </c>
      <c r="L391" s="28">
        <f t="shared" si="104"/>
        <v>140.63054953853498</v>
      </c>
      <c r="M391" s="28">
        <f t="shared" si="105"/>
        <v>0</v>
      </c>
      <c r="N391" s="28">
        <f>SUM($L$3:L391)</f>
        <v>84480.19617210735</v>
      </c>
      <c r="O391" s="28">
        <f>SUM($M$3:M391)</f>
        <v>79470.022047077</v>
      </c>
      <c r="Q391">
        <f>MATCH(C391,Ground!$A$3:$A$1999,1)</f>
        <v>116</v>
      </c>
      <c r="R391">
        <f ca="1">OFFSET(Ground!$A$2,Volume!Q391,0)</f>
        <v>7450</v>
      </c>
      <c r="S391">
        <f ca="1">OFFSET(Ground!$A$2,Volume!Q391,1)</f>
        <v>623.299113</v>
      </c>
      <c r="T391">
        <f ca="1">OFFSET(Ground!$A$2,Volume!Q391+1,0)</f>
        <v>7480</v>
      </c>
      <c r="U391">
        <f ca="1">OFFSET(Ground!$A$2,Volume!Q391+1,1)</f>
        <v>622.970507</v>
      </c>
      <c r="V391" s="26"/>
      <c r="W391">
        <f t="shared" si="106"/>
        <v>-57.63359245387547</v>
      </c>
      <c r="X391">
        <f>IF(Volume!W391&lt;'Temp Calcs'!$E$8,1,0)</f>
        <v>1</v>
      </c>
      <c r="Z391">
        <f t="shared" si="107"/>
        <v>57.11861981115549</v>
      </c>
      <c r="AA391">
        <f>IF(Volume!Z391&gt;'Temp Calcs'!$L$8,1,0)</f>
        <v>1</v>
      </c>
      <c r="AB391" s="8"/>
      <c r="AC391" s="7"/>
    </row>
    <row r="392" spans="1:29" ht="12.75">
      <c r="A392" s="1">
        <v>391</v>
      </c>
      <c r="C392" s="7">
        <f t="shared" si="98"/>
        <v>7480.5</v>
      </c>
      <c r="D392" s="8">
        <f t="shared" si="96"/>
        <v>622.8773623467212</v>
      </c>
      <c r="E392" s="7">
        <f t="shared" si="100"/>
        <v>-1.4661945112602925</v>
      </c>
      <c r="F392" s="7"/>
      <c r="G392">
        <f t="shared" si="101"/>
        <v>622.9635393666666</v>
      </c>
      <c r="H392" s="8">
        <f t="shared" si="102"/>
        <v>-0.08617701994546678</v>
      </c>
      <c r="I392" s="30">
        <f>IF(H392&lt;1,(Data!$G$16+14+0.8*Data!$G$17+Data!$G$18*(1-H392))*(1-H392),(Data!$G$16+6+Data!$G$17*(H392-0.6))*(H392-0.6))</f>
        <v>31.903575979831924</v>
      </c>
      <c r="J392" s="28">
        <f t="shared" si="99"/>
        <v>142.56873906253134</v>
      </c>
      <c r="K392" t="str">
        <f t="shared" si="103"/>
        <v>Cut</v>
      </c>
      <c r="L392" s="28">
        <f t="shared" si="104"/>
        <v>142.56873906253134</v>
      </c>
      <c r="M392" s="28">
        <f t="shared" si="105"/>
        <v>0</v>
      </c>
      <c r="N392" s="28">
        <f>SUM($L$3:L392)</f>
        <v>84622.76491116987</v>
      </c>
      <c r="O392" s="28">
        <f>SUM($M$3:M392)</f>
        <v>79470.022047077</v>
      </c>
      <c r="Q392">
        <f>MATCH(C392,Ground!$A$3:$A$1999,1)</f>
        <v>117</v>
      </c>
      <c r="R392">
        <f ca="1">OFFSET(Ground!$A$2,Volume!Q392,0)</f>
        <v>7480</v>
      </c>
      <c r="S392">
        <f ca="1">OFFSET(Ground!$A$2,Volume!Q392,1)</f>
        <v>622.970507</v>
      </c>
      <c r="T392">
        <f ca="1">OFFSET(Ground!$A$2,Volume!Q392+1,0)</f>
        <v>7510</v>
      </c>
      <c r="U392">
        <f ca="1">OFFSET(Ground!$A$2,Volume!Q392+1,1)</f>
        <v>622.552449</v>
      </c>
      <c r="V392" s="26"/>
      <c r="W392">
        <f t="shared" si="106"/>
        <v>-57.98807884880845</v>
      </c>
      <c r="X392">
        <f>IF(Volume!W392&lt;'Temp Calcs'!$E$8,1,0)</f>
        <v>1</v>
      </c>
      <c r="Z392">
        <f t="shared" si="107"/>
        <v>57.47166911947042</v>
      </c>
      <c r="AA392">
        <f>IF(Volume!Z392&gt;'Temp Calcs'!$L$8,1,0)</f>
        <v>1</v>
      </c>
      <c r="AB392" s="8"/>
      <c r="AC392" s="7"/>
    </row>
    <row r="393" spans="1:29" ht="12.75">
      <c r="A393" s="1">
        <v>392</v>
      </c>
      <c r="C393" s="7">
        <f t="shared" si="98"/>
        <v>7485</v>
      </c>
      <c r="D393" s="8">
        <f t="shared" si="96"/>
        <v>622.810251202819</v>
      </c>
      <c r="E393" s="7">
        <f t="shared" si="100"/>
        <v>-1.516522995502307</v>
      </c>
      <c r="F393" s="7"/>
      <c r="G393">
        <f t="shared" si="101"/>
        <v>622.9008306666667</v>
      </c>
      <c r="H393" s="8">
        <f t="shared" si="102"/>
        <v>-0.09057946384768911</v>
      </c>
      <c r="I393" s="30">
        <f>IF(H393&lt;1,(Data!$G$16+14+0.8*Data!$G$17+Data!$G$18*(1-H393))*(1-H393),(Data!$G$16+6+Data!$G$17*(H393-0.6))*(H393-0.6))</f>
        <v>32.042488550589766</v>
      </c>
      <c r="J393" s="28">
        <f t="shared" si="99"/>
        <v>143.87864519344882</v>
      </c>
      <c r="K393" t="str">
        <f t="shared" si="103"/>
        <v>Cut</v>
      </c>
      <c r="L393" s="28">
        <f t="shared" si="104"/>
        <v>143.87864519344882</v>
      </c>
      <c r="M393" s="28">
        <f t="shared" si="105"/>
        <v>0</v>
      </c>
      <c r="N393" s="28">
        <f>SUM($L$3:L393)</f>
        <v>84766.64355636331</v>
      </c>
      <c r="O393" s="28">
        <f>SUM($M$3:M393)</f>
        <v>79470.022047077</v>
      </c>
      <c r="Q393">
        <f>MATCH(C393,Ground!$A$3:$A$1999,1)</f>
        <v>117</v>
      </c>
      <c r="R393">
        <f ca="1">OFFSET(Ground!$A$2,Volume!Q393,0)</f>
        <v>7480</v>
      </c>
      <c r="S393">
        <f ca="1">OFFSET(Ground!$A$2,Volume!Q393,1)</f>
        <v>622.970507</v>
      </c>
      <c r="T393">
        <f ca="1">OFFSET(Ground!$A$2,Volume!Q393+1,0)</f>
        <v>7510</v>
      </c>
      <c r="U393">
        <f ca="1">OFFSET(Ground!$A$2,Volume!Q393+1,1)</f>
        <v>622.552449</v>
      </c>
      <c r="V393" s="26"/>
      <c r="W393">
        <f t="shared" si="106"/>
        <v>-58.35025214726669</v>
      </c>
      <c r="X393">
        <f>IF(Volume!W393&lt;'Temp Calcs'!$E$8,1,0)</f>
        <v>1</v>
      </c>
      <c r="Z393">
        <f t="shared" si="107"/>
        <v>57.83234667032736</v>
      </c>
      <c r="AA393">
        <f>IF(Volume!Z393&gt;'Temp Calcs'!$L$8,1,0)</f>
        <v>1</v>
      </c>
      <c r="AB393" s="8"/>
      <c r="AC393" s="7"/>
    </row>
    <row r="394" spans="1:29" ht="12.75">
      <c r="A394" s="1">
        <v>393</v>
      </c>
      <c r="C394" s="7">
        <f t="shared" si="98"/>
        <v>7489.5</v>
      </c>
      <c r="D394" s="8">
        <f t="shared" si="96"/>
        <v>622.740875277126</v>
      </c>
      <c r="E394" s="7">
        <f t="shared" si="100"/>
        <v>-1.566851479744321</v>
      </c>
      <c r="F394" s="7"/>
      <c r="G394">
        <f t="shared" si="101"/>
        <v>622.8381219666667</v>
      </c>
      <c r="H394" s="8">
        <f t="shared" si="102"/>
        <v>-0.09724668954072513</v>
      </c>
      <c r="I394" s="30">
        <f>IF(H394&lt;1,(Data!$G$16+14+0.8*Data!$G$17+Data!$G$18*(1-H394))*(1-H394),(Data!$G$16+6+Data!$G$17*(H394-0.6))*(H394-0.6))</f>
        <v>32.25301055092388</v>
      </c>
      <c r="J394" s="28">
        <f t="shared" si="99"/>
        <v>144.66487297840573</v>
      </c>
      <c r="K394" t="str">
        <f t="shared" si="103"/>
        <v>Cut</v>
      </c>
      <c r="L394" s="28">
        <f t="shared" si="104"/>
        <v>144.66487297840573</v>
      </c>
      <c r="M394" s="28">
        <f t="shared" si="105"/>
        <v>0</v>
      </c>
      <c r="N394" s="28">
        <f>SUM($L$3:L394)</f>
        <v>84911.30842934172</v>
      </c>
      <c r="O394" s="28">
        <f>SUM($M$3:M394)</f>
        <v>79470.022047077</v>
      </c>
      <c r="Q394">
        <f>MATCH(C394,Ground!$A$3:$A$1999,1)</f>
        <v>117</v>
      </c>
      <c r="R394">
        <f ca="1">OFFSET(Ground!$A$2,Volume!Q394,0)</f>
        <v>7480</v>
      </c>
      <c r="S394">
        <f ca="1">OFFSET(Ground!$A$2,Volume!Q394,1)</f>
        <v>622.970507</v>
      </c>
      <c r="T394">
        <f ca="1">OFFSET(Ground!$A$2,Volume!Q394+1,0)</f>
        <v>7510</v>
      </c>
      <c r="U394">
        <f ca="1">OFFSET(Ground!$A$2,Volume!Q394+1,1)</f>
        <v>622.552449</v>
      </c>
      <c r="V394" s="26"/>
      <c r="W394">
        <f t="shared" si="106"/>
        <v>-58.720285864803124</v>
      </c>
      <c r="X394">
        <f>IF(Volume!W394&lt;'Temp Calcs'!$E$8,1,0)</f>
        <v>1</v>
      </c>
      <c r="Z394">
        <f t="shared" si="107"/>
        <v>58.20082502810131</v>
      </c>
      <c r="AA394">
        <f>IF(Volume!Z394&gt;'Temp Calcs'!$L$8,1,0)</f>
        <v>1</v>
      </c>
      <c r="AB394" s="8"/>
      <c r="AC394" s="7"/>
    </row>
    <row r="395" spans="1:29" ht="12.75">
      <c r="A395" s="1">
        <v>394</v>
      </c>
      <c r="C395" s="7">
        <f t="shared" si="98"/>
        <v>7494</v>
      </c>
      <c r="D395" s="8">
        <f t="shared" si="96"/>
        <v>622.6692345696421</v>
      </c>
      <c r="E395" s="7">
        <f t="shared" si="100"/>
        <v>-1.6171799639863353</v>
      </c>
      <c r="F395" s="7"/>
      <c r="G395">
        <f t="shared" si="101"/>
        <v>622.7754132666666</v>
      </c>
      <c r="H395" s="8">
        <f t="shared" si="102"/>
        <v>-0.10617869702457483</v>
      </c>
      <c r="I395" s="30">
        <f>IF(H395&lt;1,(Data!$G$16+14+0.8*Data!$G$17+Data!$G$18*(1-H395))*(1-H395),(Data!$G$16+6+Data!$G$17*(H395-0.6))*(H395-0.6))</f>
        <v>32.53532317857041</v>
      </c>
      <c r="J395" s="28">
        <f t="shared" si="99"/>
        <v>145.77375089136217</v>
      </c>
      <c r="K395" t="str">
        <f t="shared" si="103"/>
        <v>Cut</v>
      </c>
      <c r="L395" s="28">
        <f t="shared" si="104"/>
        <v>145.77375089136217</v>
      </c>
      <c r="M395" s="28">
        <f t="shared" si="105"/>
        <v>0</v>
      </c>
      <c r="N395" s="28">
        <f>SUM($L$3:L395)</f>
        <v>85057.08218023308</v>
      </c>
      <c r="O395" s="28">
        <f>SUM($M$3:M395)</f>
        <v>79470.022047077</v>
      </c>
      <c r="Q395">
        <f>MATCH(C395,Ground!$A$3:$A$1999,1)</f>
        <v>117</v>
      </c>
      <c r="R395">
        <f ca="1">OFFSET(Ground!$A$2,Volume!Q395,0)</f>
        <v>7480</v>
      </c>
      <c r="S395">
        <f ca="1">OFFSET(Ground!$A$2,Volume!Q395,1)</f>
        <v>622.970507</v>
      </c>
      <c r="T395">
        <f ca="1">OFFSET(Ground!$A$2,Volume!Q395+1,0)</f>
        <v>7510</v>
      </c>
      <c r="U395">
        <f ca="1">OFFSET(Ground!$A$2,Volume!Q395+1,1)</f>
        <v>622.552449</v>
      </c>
      <c r="V395" s="26"/>
      <c r="W395">
        <f t="shared" si="106"/>
        <v>-59.09836021185449</v>
      </c>
      <c r="X395">
        <f>IF(Volume!W395&lt;'Temp Calcs'!$E$8,1,0)</f>
        <v>1</v>
      </c>
      <c r="Z395">
        <f t="shared" si="107"/>
        <v>58.577283405601506</v>
      </c>
      <c r="AA395">
        <f>IF(Volume!Z395&gt;'Temp Calcs'!$L$8,1,0)</f>
        <v>1</v>
      </c>
      <c r="AB395" s="8"/>
      <c r="AC395" s="7"/>
    </row>
    <row r="396" spans="1:29" ht="12.75">
      <c r="A396" s="1">
        <v>395</v>
      </c>
      <c r="C396" s="7">
        <f t="shared" si="98"/>
        <v>7498.5</v>
      </c>
      <c r="D396" s="8">
        <f t="shared" si="96"/>
        <v>622.5953290803673</v>
      </c>
      <c r="E396" s="7">
        <f t="shared" si="100"/>
        <v>-1.6675084482283498</v>
      </c>
      <c r="F396" s="7"/>
      <c r="G396">
        <f t="shared" si="101"/>
        <v>622.7127045666667</v>
      </c>
      <c r="H396" s="8">
        <f t="shared" si="102"/>
        <v>-0.11737548629946559</v>
      </c>
      <c r="I396" s="30">
        <f>IF(H396&lt;1,(Data!$G$16+14+0.8*Data!$G$17+Data!$G$18*(1-H396))*(1-H396),(Data!$G$16+6+Data!$G$17*(H396-0.6))*(H396-0.6))</f>
        <v>32.8896691821114</v>
      </c>
      <c r="J396" s="28">
        <f t="shared" si="99"/>
        <v>147.20623281153408</v>
      </c>
      <c r="K396" t="str">
        <f t="shared" si="103"/>
        <v>Cut</v>
      </c>
      <c r="L396" s="28">
        <f t="shared" si="104"/>
        <v>147.20623281153408</v>
      </c>
      <c r="M396" s="28">
        <f t="shared" si="105"/>
        <v>0</v>
      </c>
      <c r="N396" s="28">
        <f>SUM($L$3:L396)</f>
        <v>85204.2884130446</v>
      </c>
      <c r="O396" s="28">
        <f>SUM($M$3:M396)</f>
        <v>79470.022047077</v>
      </c>
      <c r="Q396">
        <f>MATCH(C396,Ground!$A$3:$A$1999,1)</f>
        <v>117</v>
      </c>
      <c r="R396">
        <f ca="1">OFFSET(Ground!$A$2,Volume!Q396,0)</f>
        <v>7480</v>
      </c>
      <c r="S396">
        <f ca="1">OFFSET(Ground!$A$2,Volume!Q396,1)</f>
        <v>622.970507</v>
      </c>
      <c r="T396">
        <f ca="1">OFFSET(Ground!$A$2,Volume!Q396+1,0)</f>
        <v>7510</v>
      </c>
      <c r="U396">
        <f ca="1">OFFSET(Ground!$A$2,Volume!Q396+1,1)</f>
        <v>622.552449</v>
      </c>
      <c r="V396" s="26"/>
      <c r="W396">
        <f t="shared" si="106"/>
        <v>-59.48466237270568</v>
      </c>
      <c r="X396">
        <f>IF(Volume!W396&lt;'Temp Calcs'!$E$8,1,0)</f>
        <v>1</v>
      </c>
      <c r="Z396">
        <f t="shared" si="107"/>
        <v>58.96190794134955</v>
      </c>
      <c r="AA396">
        <f>IF(Volume!Z396&gt;'Temp Calcs'!$L$8,1,0)</f>
        <v>1</v>
      </c>
      <c r="AB396" s="8"/>
      <c r="AC396" s="7"/>
    </row>
    <row r="397" spans="1:29" ht="12.75">
      <c r="A397" s="1">
        <v>396</v>
      </c>
      <c r="C397" s="7">
        <f t="shared" si="98"/>
        <v>7503</v>
      </c>
      <c r="D397" s="8">
        <f t="shared" si="96"/>
        <v>622.5191588093014</v>
      </c>
      <c r="E397" s="7">
        <f t="shared" si="100"/>
        <v>-1.7178369324703642</v>
      </c>
      <c r="F397" s="7"/>
      <c r="G397">
        <f t="shared" si="101"/>
        <v>622.6499958666667</v>
      </c>
      <c r="H397" s="8">
        <f t="shared" si="102"/>
        <v>-0.13083705736528373</v>
      </c>
      <c r="I397" s="30">
        <f>IF(H397&lt;1,(Data!$G$16+14+0.8*Data!$G$17+Data!$G$18*(1-H397))*(1-H397),(Data!$G$16+6+Data!$G$17*(H397-0.6))*(H397-0.6))</f>
        <v>33.31635286095686</v>
      </c>
      <c r="J397" s="28">
        <f t="shared" si="99"/>
        <v>148.9635495969036</v>
      </c>
      <c r="K397" t="str">
        <f t="shared" si="103"/>
        <v>Cut</v>
      </c>
      <c r="L397" s="28">
        <f t="shared" si="104"/>
        <v>148.9635495969036</v>
      </c>
      <c r="M397" s="28">
        <f t="shared" si="105"/>
        <v>0</v>
      </c>
      <c r="N397" s="28">
        <f>SUM($L$3:L397)</f>
        <v>85353.2519626415</v>
      </c>
      <c r="O397" s="28">
        <f>SUM($M$3:M397)</f>
        <v>79470.022047077</v>
      </c>
      <c r="Q397">
        <f>MATCH(C397,Ground!$A$3:$A$1999,1)</f>
        <v>117</v>
      </c>
      <c r="R397">
        <f ca="1">OFFSET(Ground!$A$2,Volume!Q397,0)</f>
        <v>7480</v>
      </c>
      <c r="S397">
        <f ca="1">OFFSET(Ground!$A$2,Volume!Q397,1)</f>
        <v>622.970507</v>
      </c>
      <c r="T397">
        <f ca="1">OFFSET(Ground!$A$2,Volume!Q397+1,0)</f>
        <v>7510</v>
      </c>
      <c r="U397">
        <f ca="1">OFFSET(Ground!$A$2,Volume!Q397+1,1)</f>
        <v>622.552449</v>
      </c>
      <c r="V397" s="26"/>
      <c r="W397">
        <f t="shared" si="106"/>
        <v>-59.87938679996556</v>
      </c>
      <c r="X397">
        <f>IF(Volume!W397&lt;'Temp Calcs'!$E$8,1,0)</f>
        <v>1</v>
      </c>
      <c r="Z397">
        <f t="shared" si="107"/>
        <v>59.35489199226654</v>
      </c>
      <c r="AA397">
        <f>IF(Volume!Z397&gt;'Temp Calcs'!$L$8,1,0)</f>
        <v>1</v>
      </c>
      <c r="AB397" s="8"/>
      <c r="AC397" s="7"/>
    </row>
    <row r="398" spans="1:29" ht="12.75">
      <c r="A398" s="1">
        <v>397</v>
      </c>
      <c r="C398" s="7">
        <f t="shared" si="98"/>
        <v>7507.5</v>
      </c>
      <c r="D398" s="8">
        <f t="shared" si="96"/>
        <v>622.4407237564449</v>
      </c>
      <c r="E398" s="7">
        <f t="shared" si="100"/>
        <v>-1.7681654167123781</v>
      </c>
      <c r="F398" s="7"/>
      <c r="G398">
        <f t="shared" si="101"/>
        <v>622.5872871666667</v>
      </c>
      <c r="H398" s="8">
        <f t="shared" si="102"/>
        <v>-0.14656341022180186</v>
      </c>
      <c r="I398" s="30">
        <f>IF(H398&lt;1,(Data!$G$16+14+0.8*Data!$G$17+Data!$G$18*(1-H398))*(1-H398),(Data!$G$16+6+Data!$G$17*(H398-0.6))*(H398-0.6))</f>
        <v>33.8157400653519</v>
      </c>
      <c r="J398" s="28">
        <f t="shared" si="99"/>
        <v>151.04720908419472</v>
      </c>
      <c r="K398" t="str">
        <f t="shared" si="103"/>
        <v>Cut</v>
      </c>
      <c r="L398" s="28">
        <f t="shared" si="104"/>
        <v>151.04720908419472</v>
      </c>
      <c r="M398" s="28">
        <f t="shared" si="105"/>
        <v>0</v>
      </c>
      <c r="N398" s="28">
        <f>SUM($L$3:L398)</f>
        <v>85504.2991717257</v>
      </c>
      <c r="O398" s="28">
        <f>SUM($M$3:M398)</f>
        <v>79470.022047077</v>
      </c>
      <c r="Q398">
        <f>MATCH(C398,Ground!$A$3:$A$1999,1)</f>
        <v>117</v>
      </c>
      <c r="R398">
        <f ca="1">OFFSET(Ground!$A$2,Volume!Q398,0)</f>
        <v>7480</v>
      </c>
      <c r="S398">
        <f ca="1">OFFSET(Ground!$A$2,Volume!Q398,1)</f>
        <v>622.970507</v>
      </c>
      <c r="T398">
        <f ca="1">OFFSET(Ground!$A$2,Volume!Q398+1,0)</f>
        <v>7510</v>
      </c>
      <c r="U398">
        <f ca="1">OFFSET(Ground!$A$2,Volume!Q398+1,1)</f>
        <v>622.552449</v>
      </c>
      <c r="V398" s="26"/>
      <c r="W398">
        <f t="shared" si="106"/>
        <v>-60.28273552551088</v>
      </c>
      <c r="X398">
        <f>IF(Volume!W398&lt;'Temp Calcs'!$E$8,1,0)</f>
        <v>1</v>
      </c>
      <c r="Z398">
        <f t="shared" si="107"/>
        <v>59.75643644271935</v>
      </c>
      <c r="AA398">
        <f>IF(Volume!Z398&gt;'Temp Calcs'!$L$8,1,0)</f>
        <v>1</v>
      </c>
      <c r="AB398" s="8"/>
      <c r="AC398" s="7"/>
    </row>
    <row r="399" spans="1:29" ht="12.75">
      <c r="A399" s="1">
        <v>398</v>
      </c>
      <c r="C399" s="7">
        <f t="shared" si="98"/>
        <v>7512</v>
      </c>
      <c r="D399" s="8">
        <f t="shared" si="96"/>
        <v>622.3600239217974</v>
      </c>
      <c r="E399" s="7">
        <f t="shared" si="100"/>
        <v>-1.8184939009543926</v>
      </c>
      <c r="F399" s="7"/>
      <c r="G399">
        <f t="shared" si="101"/>
        <v>622.5191782666667</v>
      </c>
      <c r="H399" s="8">
        <f t="shared" si="102"/>
        <v>-0.15915434486930735</v>
      </c>
      <c r="I399" s="30">
        <f>IF(H399&lt;1,(Data!$G$16+14+0.8*Data!$G$17+Data!$G$18*(1-H399))*(1-H399),(Data!$G$16+6+Data!$G$17*(H399-0.6))*(H399-0.6))</f>
        <v>34.21627577090395</v>
      </c>
      <c r="J399" s="28">
        <f t="shared" si="99"/>
        <v>153.07203563157566</v>
      </c>
      <c r="K399" t="str">
        <f t="shared" si="103"/>
        <v>Cut</v>
      </c>
      <c r="L399" s="28">
        <f t="shared" si="104"/>
        <v>153.07203563157566</v>
      </c>
      <c r="M399" s="28">
        <f t="shared" si="105"/>
        <v>0</v>
      </c>
      <c r="N399" s="28">
        <f>SUM($L$3:L399)</f>
        <v>85657.37120735727</v>
      </c>
      <c r="O399" s="28">
        <f>SUM($M$3:M399)</f>
        <v>79470.022047077</v>
      </c>
      <c r="Q399">
        <f>MATCH(C399,Ground!$A$3:$A$1999,1)</f>
        <v>118</v>
      </c>
      <c r="R399">
        <f ca="1">OFFSET(Ground!$A$2,Volume!Q399,0)</f>
        <v>7510</v>
      </c>
      <c r="S399">
        <f ca="1">OFFSET(Ground!$A$2,Volume!Q399,1)</f>
        <v>622.552449</v>
      </c>
      <c r="T399">
        <f ca="1">OFFSET(Ground!$A$2,Volume!Q399+1,0)</f>
        <v>7540</v>
      </c>
      <c r="U399">
        <f ca="1">OFFSET(Ground!$A$2,Volume!Q399+1,1)</f>
        <v>622.053388</v>
      </c>
      <c r="V399" s="26"/>
      <c r="W399">
        <f t="shared" si="106"/>
        <v>-60.69491848892853</v>
      </c>
      <c r="X399">
        <f>IF(Volume!W399&lt;'Temp Calcs'!$E$8,1,0)</f>
        <v>1</v>
      </c>
      <c r="Z399">
        <f t="shared" si="107"/>
        <v>60.16675003095048</v>
      </c>
      <c r="AA399">
        <f>IF(Volume!Z399&gt;'Temp Calcs'!$L$8,1,0)</f>
        <v>1</v>
      </c>
      <c r="AB399" s="8"/>
      <c r="AC399" s="7"/>
    </row>
    <row r="400" spans="1:29" ht="12.75">
      <c r="A400" s="1">
        <v>399</v>
      </c>
      <c r="C400" s="7">
        <f t="shared" si="98"/>
        <v>7516.5</v>
      </c>
      <c r="D400" s="8">
        <f t="shared" si="96"/>
        <v>622.277059305359</v>
      </c>
      <c r="E400" s="7">
        <f t="shared" si="100"/>
        <v>-1.868822385196407</v>
      </c>
      <c r="F400" s="7"/>
      <c r="G400">
        <f t="shared" si="101"/>
        <v>622.4443191166667</v>
      </c>
      <c r="H400" s="8">
        <f t="shared" si="102"/>
        <v>-0.16725981130775835</v>
      </c>
      <c r="I400" s="30">
        <f>IF(H400&lt;1,(Data!$G$16+14+0.8*Data!$G$17+Data!$G$18*(1-H400))*(1-H400),(Data!$G$16+6+Data!$G$17*(H400-0.6))*(H400-0.6))</f>
        <v>34.47445780175947</v>
      </c>
      <c r="J400" s="28">
        <f t="shared" si="99"/>
        <v>154.5541505384927</v>
      </c>
      <c r="K400" t="str">
        <f t="shared" si="103"/>
        <v>Cut</v>
      </c>
      <c r="L400" s="28">
        <f t="shared" si="104"/>
        <v>154.5541505384927</v>
      </c>
      <c r="M400" s="28">
        <f t="shared" si="105"/>
        <v>0</v>
      </c>
      <c r="N400" s="28">
        <f>SUM($L$3:L400)</f>
        <v>85811.92535789576</v>
      </c>
      <c r="O400" s="28">
        <f>SUM($M$3:M400)</f>
        <v>79470.022047077</v>
      </c>
      <c r="Q400">
        <f>MATCH(C400,Ground!$A$3:$A$1999,1)</f>
        <v>118</v>
      </c>
      <c r="R400">
        <f ca="1">OFFSET(Ground!$A$2,Volume!Q400,0)</f>
        <v>7510</v>
      </c>
      <c r="S400">
        <f ca="1">OFFSET(Ground!$A$2,Volume!Q400,1)</f>
        <v>622.552449</v>
      </c>
      <c r="T400">
        <f ca="1">OFFSET(Ground!$A$2,Volume!Q400+1,0)</f>
        <v>7540</v>
      </c>
      <c r="U400">
        <f ca="1">OFFSET(Ground!$A$2,Volume!Q400+1,1)</f>
        <v>622.053388</v>
      </c>
      <c r="V400" s="26"/>
      <c r="W400">
        <f t="shared" si="106"/>
        <v>-61.11615388454975</v>
      </c>
      <c r="X400">
        <f>IF(Volume!W400&lt;'Temp Calcs'!$E$8,1,0)</f>
        <v>1</v>
      </c>
      <c r="Z400">
        <f t="shared" si="107"/>
        <v>60.58604969397765</v>
      </c>
      <c r="AA400">
        <f>IF(Volume!Z400&gt;'Temp Calcs'!$L$8,1,0)</f>
        <v>1</v>
      </c>
      <c r="AB400" s="8"/>
      <c r="AC400" s="7"/>
    </row>
    <row r="401" spans="1:29" ht="12.75">
      <c r="A401" s="1">
        <v>400</v>
      </c>
      <c r="C401" s="7">
        <f t="shared" si="98"/>
        <v>7521</v>
      </c>
      <c r="D401" s="8">
        <f t="shared" si="96"/>
        <v>622.1918299071297</v>
      </c>
      <c r="E401" s="7">
        <f t="shared" si="100"/>
        <v>-1.919150869438421</v>
      </c>
      <c r="F401" s="7"/>
      <c r="G401">
        <f t="shared" si="101"/>
        <v>622.3694599666667</v>
      </c>
      <c r="H401" s="8">
        <f t="shared" si="102"/>
        <v>-0.17763005953702304</v>
      </c>
      <c r="I401" s="30">
        <f>IF(H401&lt;1,(Data!$G$16+14+0.8*Data!$G$17+Data!$G$18*(1-H401))*(1-H401),(Data!$G$16+6+Data!$G$17*(H401-0.6))*(H401-0.6))</f>
        <v>34.80516273365737</v>
      </c>
      <c r="J401" s="28">
        <f t="shared" si="99"/>
        <v>155.87914620468788</v>
      </c>
      <c r="K401" t="str">
        <f t="shared" si="103"/>
        <v>Cut</v>
      </c>
      <c r="L401" s="28">
        <f t="shared" si="104"/>
        <v>155.87914620468788</v>
      </c>
      <c r="M401" s="28">
        <f t="shared" si="105"/>
        <v>0</v>
      </c>
      <c r="N401" s="28">
        <f>SUM($L$3:L401)</f>
        <v>85967.80450410045</v>
      </c>
      <c r="O401" s="28">
        <f>SUM($M$3:M401)</f>
        <v>79470.022047077</v>
      </c>
      <c r="Q401">
        <f>MATCH(C401,Ground!$A$3:$A$1999,1)</f>
        <v>118</v>
      </c>
      <c r="R401">
        <f ca="1">OFFSET(Ground!$A$2,Volume!Q401,0)</f>
        <v>7510</v>
      </c>
      <c r="S401">
        <f ca="1">OFFSET(Ground!$A$2,Volume!Q401,1)</f>
        <v>622.552449</v>
      </c>
      <c r="T401">
        <f ca="1">OFFSET(Ground!$A$2,Volume!Q401+1,0)</f>
        <v>7540</v>
      </c>
      <c r="U401">
        <f ca="1">OFFSET(Ground!$A$2,Volume!Q401+1,1)</f>
        <v>622.053388</v>
      </c>
      <c r="V401" s="26"/>
      <c r="W401">
        <f t="shared" si="106"/>
        <v>-61.5466685282684</v>
      </c>
      <c r="X401">
        <f>IF(Volume!W401&lt;'Temp Calcs'!$E$8,1,0)</f>
        <v>1</v>
      </c>
      <c r="Z401">
        <f t="shared" si="107"/>
        <v>61.014560932147944</v>
      </c>
      <c r="AA401">
        <f>IF(Volume!Z401&gt;'Temp Calcs'!$L$8,1,0)</f>
        <v>1</v>
      </c>
      <c r="AB401" s="8"/>
      <c r="AC401" s="7"/>
    </row>
    <row r="402" spans="1:29" ht="12.75">
      <c r="A402" s="1">
        <v>401</v>
      </c>
      <c r="B402" s="1" t="s">
        <v>18</v>
      </c>
      <c r="C402" s="5">
        <f>Data!C7+Data!F7/2</f>
        <v>7525.5</v>
      </c>
      <c r="D402" s="6">
        <f>Data!D7+Data!E7/100*Data!F7/2</f>
        <v>622.1043357271095</v>
      </c>
      <c r="E402" s="5">
        <f>Data!E7</f>
        <v>-1.9694793536804356</v>
      </c>
      <c r="F402" s="5"/>
      <c r="G402">
        <f>S402+(U402-S402)*(C402-R402)/(T402-R402)</f>
        <v>622.2946008166667</v>
      </c>
      <c r="H402" s="8">
        <f>D402-G402</f>
        <v>-0.1902650895572151</v>
      </c>
      <c r="I402" s="30">
        <f>IF(H402&lt;1,(Data!$G$16+14+0.8*Data!$G$17+Data!$G$18*(1-H402))*(1-H402),(Data!$G$16+6+Data!$G$17*(H402-0.6))*(H402-0.6))</f>
        <v>35.20867240279354</v>
      </c>
      <c r="J402" s="28">
        <f t="shared" si="99"/>
        <v>157.53112905701454</v>
      </c>
      <c r="K402" t="str">
        <f>IF(H402&lt;0.5,"Cut","Fill")</f>
        <v>Cut</v>
      </c>
      <c r="L402" s="28">
        <f>IF(K402="Cut",J402,0)</f>
        <v>157.53112905701454</v>
      </c>
      <c r="M402" s="28">
        <f>IF(K402="Fill",J402,0)</f>
        <v>0</v>
      </c>
      <c r="N402" s="28">
        <f>SUM($L$3:L402)</f>
        <v>86125.33563315746</v>
      </c>
      <c r="O402" s="28">
        <f>SUM($M$3:M402)</f>
        <v>79470.022047077</v>
      </c>
      <c r="Q402">
        <f>MATCH(C402,Ground!$A$3:$A$1999,1)</f>
        <v>118</v>
      </c>
      <c r="R402">
        <f ca="1">OFFSET(Ground!$A$2,Volume!Q402,0)</f>
        <v>7510</v>
      </c>
      <c r="S402">
        <f ca="1">OFFSET(Ground!$A$2,Volume!Q402,1)</f>
        <v>622.552449</v>
      </c>
      <c r="T402">
        <f ca="1">OFFSET(Ground!$A$2,Volume!Q402+1,0)</f>
        <v>7540</v>
      </c>
      <c r="U402">
        <f ca="1">OFFSET(Ground!$A$2,Volume!Q402+1,1)</f>
        <v>622.053388</v>
      </c>
      <c r="V402" s="26"/>
      <c r="W402">
        <f t="shared" si="106"/>
        <v>-61.98669824541349</v>
      </c>
      <c r="X402">
        <f>IF(Volume!W402&lt;'Temp Calcs'!$E$8,1,0)</f>
        <v>1</v>
      </c>
      <c r="Z402">
        <f t="shared" si="107"/>
        <v>61.45251819460884</v>
      </c>
      <c r="AA402">
        <f>IF(Volume!Z402&gt;'Temp Calcs'!$L$8,1,0)</f>
        <v>1</v>
      </c>
      <c r="AB402" s="6"/>
      <c r="AC402" s="5"/>
    </row>
    <row r="403" spans="1:29" ht="12.75">
      <c r="A403" s="1">
        <v>402</v>
      </c>
      <c r="B403" s="1"/>
      <c r="C403" s="31">
        <f>C402+($C$452-$C$402)/50</f>
        <v>7533.64</v>
      </c>
      <c r="D403" s="8">
        <f>$D$402+($D$452-$D$402)*(C403-$C$402)/($C$452-$C$402)</f>
        <v>621.9440201077199</v>
      </c>
      <c r="E403" s="7">
        <f>$E$402</f>
        <v>-1.9694793536804356</v>
      </c>
      <c r="F403" s="5"/>
      <c r="G403">
        <f aca="true" t="shared" si="108" ref="G403:G451">S403+(U403-S403)*(C403-R403)/(T403-R403)</f>
        <v>622.159188932</v>
      </c>
      <c r="H403" s="8">
        <f aca="true" t="shared" si="109" ref="H403:H451">D403-G403</f>
        <v>-0.21516882428011286</v>
      </c>
      <c r="I403" s="30">
        <f>IF(H403&lt;1,(Data!$G$16+14+0.8*Data!$G$17+Data!$G$18*(1-H403))*(1-H403),(Data!$G$16+6+Data!$G$17*(H403-0.6))*(H403-0.6))</f>
        <v>36.00586256342369</v>
      </c>
      <c r="J403" s="28">
        <f t="shared" si="99"/>
        <v>289.84315731251576</v>
      </c>
      <c r="K403" t="str">
        <f aca="true" t="shared" si="110" ref="K403:K451">IF(H403&lt;0.5,"Cut","Fill")</f>
        <v>Cut</v>
      </c>
      <c r="L403" s="28">
        <f aca="true" t="shared" si="111" ref="L403:L451">IF(K403="Cut",J403,0)</f>
        <v>289.84315731251576</v>
      </c>
      <c r="M403" s="28">
        <f aca="true" t="shared" si="112" ref="M403:M451">IF(K403="Fill",J403,0)</f>
        <v>0</v>
      </c>
      <c r="N403" s="28">
        <f>SUM($L$3:L403)</f>
        <v>86415.17879046997</v>
      </c>
      <c r="O403" s="28">
        <f>SUM($M$3:M403)</f>
        <v>79470.022047077</v>
      </c>
      <c r="Q403">
        <f>MATCH(C403,Ground!$A$3:$A$1999,1)</f>
        <v>118</v>
      </c>
      <c r="R403">
        <f ca="1">OFFSET(Ground!$A$2,Volume!Q403,0)</f>
        <v>7510</v>
      </c>
      <c r="S403">
        <f ca="1">OFFSET(Ground!$A$2,Volume!Q403,1)</f>
        <v>622.552449</v>
      </c>
      <c r="T403">
        <f ca="1">OFFSET(Ground!$A$2,Volume!Q403+1,0)</f>
        <v>7540</v>
      </c>
      <c r="U403">
        <f ca="1">OFFSET(Ground!$A$2,Volume!Q403+1,1)</f>
        <v>622.053388</v>
      </c>
      <c r="V403" s="26"/>
      <c r="W403">
        <f t="shared" si="106"/>
        <v>-62.7971994840164</v>
      </c>
      <c r="X403">
        <f>IF(Volume!W403&lt;'Temp Calcs'!$E$8,1,0)</f>
        <v>1</v>
      </c>
      <c r="Z403">
        <f t="shared" si="107"/>
        <v>62.259179882973875</v>
      </c>
      <c r="AA403">
        <f>IF(Volume!Z403&gt;'Temp Calcs'!$L$8,1,0)</f>
        <v>1</v>
      </c>
      <c r="AB403" s="6"/>
      <c r="AC403" s="5"/>
    </row>
    <row r="404" spans="1:29" ht="12.75">
      <c r="A404" s="1">
        <v>403</v>
      </c>
      <c r="B404" s="1"/>
      <c r="C404" s="31">
        <f aca="true" t="shared" si="113" ref="C404:C451">C403+($C$452-$C$402)/50</f>
        <v>7541.780000000001</v>
      </c>
      <c r="D404" s="8">
        <f aca="true" t="shared" si="114" ref="D404:D451">$D$402+($D$452-$D$402)*(C404-$C$402)/($C$452-$C$402)</f>
        <v>621.7837044883303</v>
      </c>
      <c r="E404" s="7">
        <f aca="true" t="shared" si="115" ref="E404:E451">$E$402</f>
        <v>-1.9694793536804356</v>
      </c>
      <c r="F404" s="5"/>
      <c r="G404">
        <f t="shared" si="108"/>
        <v>622.029280036</v>
      </c>
      <c r="H404" s="8">
        <f t="shared" si="109"/>
        <v>-0.2455755476697732</v>
      </c>
      <c r="I404" s="30">
        <f>IF(H404&lt;1,(Data!$G$16+14+0.8*Data!$G$17+Data!$G$18*(1-H404))*(1-H404),(Data!$G$16+6+Data!$G$17*(H404-0.6))*(H404-0.6))</f>
        <v>36.98257178652354</v>
      </c>
      <c r="J404" s="28">
        <f t="shared" si="99"/>
        <v>297.06292780429715</v>
      </c>
      <c r="K404" t="str">
        <f t="shared" si="110"/>
        <v>Cut</v>
      </c>
      <c r="L404" s="28">
        <f t="shared" si="111"/>
        <v>297.06292780429715</v>
      </c>
      <c r="M404" s="28">
        <f t="shared" si="112"/>
        <v>0</v>
      </c>
      <c r="N404" s="28">
        <f>SUM($L$3:L404)</f>
        <v>86712.24171827426</v>
      </c>
      <c r="O404" s="28">
        <f>SUM($M$3:M404)</f>
        <v>79470.022047077</v>
      </c>
      <c r="Q404">
        <f>MATCH(C404,Ground!$A$3:$A$1999,1)</f>
        <v>119</v>
      </c>
      <c r="R404">
        <f ca="1">OFFSET(Ground!$A$2,Volume!Q404,0)</f>
        <v>7540</v>
      </c>
      <c r="S404">
        <f ca="1">OFFSET(Ground!$A$2,Volume!Q404,1)</f>
        <v>622.053388</v>
      </c>
      <c r="T404">
        <f ca="1">OFFSET(Ground!$A$2,Volume!Q404+1,0)</f>
        <v>7570</v>
      </c>
      <c r="U404">
        <f ca="1">OFFSET(Ground!$A$2,Volume!Q404+1,1)</f>
        <v>621.647074</v>
      </c>
      <c r="V404" s="26"/>
      <c r="W404">
        <f t="shared" si="106"/>
        <v>-63.61943642909528</v>
      </c>
      <c r="X404">
        <f>IF(Volume!W404&lt;'Temp Calcs'!$E$8,1,0)</f>
        <v>1</v>
      </c>
      <c r="Z404">
        <f t="shared" si="107"/>
        <v>63.07752168279237</v>
      </c>
      <c r="AA404">
        <f>IF(Volume!Z404&gt;'Temp Calcs'!$L$8,1,0)</f>
        <v>1</v>
      </c>
      <c r="AB404" s="6"/>
      <c r="AC404" s="5"/>
    </row>
    <row r="405" spans="1:29" ht="12.75">
      <c r="A405" s="1">
        <v>404</v>
      </c>
      <c r="B405" s="1"/>
      <c r="C405" s="31">
        <f t="shared" si="113"/>
        <v>7549.920000000001</v>
      </c>
      <c r="D405" s="8">
        <f t="shared" si="114"/>
        <v>621.6233888689408</v>
      </c>
      <c r="E405" s="7">
        <f t="shared" si="115"/>
        <v>-1.9694793536804356</v>
      </c>
      <c r="F405" s="5"/>
      <c r="G405">
        <f t="shared" si="108"/>
        <v>621.919033504</v>
      </c>
      <c r="H405" s="8">
        <f t="shared" si="109"/>
        <v>-0.2956446350592614</v>
      </c>
      <c r="I405" s="30">
        <f>IF(H405&lt;1,(Data!$G$16+14+0.8*Data!$G$17+Data!$G$18*(1-H405))*(1-H405),(Data!$G$16+6+Data!$G$17*(H405-0.6))*(H405-0.6))</f>
        <v>38.5989241143276</v>
      </c>
      <c r="J405" s="28">
        <f t="shared" si="99"/>
        <v>307.6166883164765</v>
      </c>
      <c r="K405" t="str">
        <f t="shared" si="110"/>
        <v>Cut</v>
      </c>
      <c r="L405" s="28">
        <f t="shared" si="111"/>
        <v>307.6166883164765</v>
      </c>
      <c r="M405" s="28">
        <f t="shared" si="112"/>
        <v>0</v>
      </c>
      <c r="N405" s="28">
        <f>SUM($L$3:L405)</f>
        <v>87019.85840659073</v>
      </c>
      <c r="O405" s="28">
        <f>SUM($M$3:M405)</f>
        <v>79470.022047077</v>
      </c>
      <c r="Q405">
        <f>MATCH(C405,Ground!$A$3:$A$1999,1)</f>
        <v>119</v>
      </c>
      <c r="R405">
        <f ca="1">OFFSET(Ground!$A$2,Volume!Q405,0)</f>
        <v>7540</v>
      </c>
      <c r="S405">
        <f ca="1">OFFSET(Ground!$A$2,Volume!Q405,1)</f>
        <v>622.053388</v>
      </c>
      <c r="T405">
        <f ca="1">OFFSET(Ground!$A$2,Volume!Q405+1,0)</f>
        <v>7570</v>
      </c>
      <c r="U405">
        <f ca="1">OFFSET(Ground!$A$2,Volume!Q405+1,1)</f>
        <v>621.647074</v>
      </c>
      <c r="V405" s="26"/>
      <c r="W405">
        <f t="shared" si="106"/>
        <v>-64.45366583138059</v>
      </c>
      <c r="X405">
        <f>IF(Volume!W405&lt;'Temp Calcs'!$E$8,1,0)</f>
        <v>1</v>
      </c>
      <c r="Z405">
        <f t="shared" si="107"/>
        <v>63.907799128501395</v>
      </c>
      <c r="AA405">
        <f>IF(Volume!Z405&gt;'Temp Calcs'!$L$8,1,0)</f>
        <v>1</v>
      </c>
      <c r="AB405" s="6"/>
      <c r="AC405" s="5"/>
    </row>
    <row r="406" spans="1:29" ht="12.75">
      <c r="A406" s="1">
        <v>405</v>
      </c>
      <c r="B406" s="1"/>
      <c r="C406" s="31">
        <f t="shared" si="113"/>
        <v>7558.060000000001</v>
      </c>
      <c r="D406" s="8">
        <f t="shared" si="114"/>
        <v>621.4630732495511</v>
      </c>
      <c r="E406" s="7">
        <f t="shared" si="115"/>
        <v>-1.9694793536804356</v>
      </c>
      <c r="F406" s="5"/>
      <c r="G406">
        <f t="shared" si="108"/>
        <v>621.808786972</v>
      </c>
      <c r="H406" s="8">
        <f t="shared" si="109"/>
        <v>-0.34571372244886334</v>
      </c>
      <c r="I406" s="30">
        <f>IF(H406&lt;1,(Data!$G$16+14+0.8*Data!$G$17+Data!$G$18*(1-H406))*(1-H406),(Data!$G$16+6+Data!$G$17*(H406-0.6))*(H406-0.6))</f>
        <v>40.225304096183436</v>
      </c>
      <c r="J406" s="28">
        <f t="shared" si="99"/>
        <v>320.8146088167928</v>
      </c>
      <c r="K406" t="str">
        <f t="shared" si="110"/>
        <v>Cut</v>
      </c>
      <c r="L406" s="28">
        <f t="shared" si="111"/>
        <v>320.8146088167928</v>
      </c>
      <c r="M406" s="28">
        <f t="shared" si="112"/>
        <v>0</v>
      </c>
      <c r="N406" s="28">
        <f>SUM($L$3:L406)</f>
        <v>87340.67301540753</v>
      </c>
      <c r="O406" s="28">
        <f>SUM($M$3:M406)</f>
        <v>79470.022047077</v>
      </c>
      <c r="Q406">
        <f>MATCH(C406,Ground!$A$3:$A$1999,1)</f>
        <v>119</v>
      </c>
      <c r="R406">
        <f ca="1">OFFSET(Ground!$A$2,Volume!Q406,0)</f>
        <v>7540</v>
      </c>
      <c r="S406">
        <f ca="1">OFFSET(Ground!$A$2,Volume!Q406,1)</f>
        <v>622.053388</v>
      </c>
      <c r="T406">
        <f ca="1">OFFSET(Ground!$A$2,Volume!Q406+1,0)</f>
        <v>7570</v>
      </c>
      <c r="U406">
        <f ca="1">OFFSET(Ground!$A$2,Volume!Q406+1,1)</f>
        <v>621.647074</v>
      </c>
      <c r="V406" s="26"/>
      <c r="W406">
        <f t="shared" si="106"/>
        <v>-65.30015198612371</v>
      </c>
      <c r="X406">
        <f>IF(Volume!W406&lt;'Temp Calcs'!$E$8,1,0)</f>
        <v>1</v>
      </c>
      <c r="Z406">
        <f t="shared" si="107"/>
        <v>64.75027526331856</v>
      </c>
      <c r="AA406">
        <f>IF(Volume!Z406&gt;'Temp Calcs'!$L$8,1,0)</f>
        <v>1</v>
      </c>
      <c r="AB406" s="6"/>
      <c r="AC406" s="5"/>
    </row>
    <row r="407" spans="1:29" ht="12.75">
      <c r="A407" s="1">
        <v>406</v>
      </c>
      <c r="B407" s="1"/>
      <c r="C407" s="31">
        <f t="shared" si="113"/>
        <v>7566.200000000002</v>
      </c>
      <c r="D407" s="8">
        <f t="shared" si="114"/>
        <v>621.3027576301615</v>
      </c>
      <c r="E407" s="7">
        <f t="shared" si="115"/>
        <v>-1.9694793536804356</v>
      </c>
      <c r="F407" s="5"/>
      <c r="G407">
        <f t="shared" si="108"/>
        <v>621.69854044</v>
      </c>
      <c r="H407" s="8">
        <f t="shared" si="109"/>
        <v>-0.39578280983846525</v>
      </c>
      <c r="I407" s="30">
        <f>IF(H407&lt;1,(Data!$G$16+14+0.8*Data!$G$17+Data!$G$18*(1-H407))*(1-H407),(Data!$G$16+6+Data!$G$17*(H407-0.6))*(H407-0.6))</f>
        <v>41.86171173208738</v>
      </c>
      <c r="J407" s="28">
        <f t="shared" si="99"/>
        <v>334.09415442107564</v>
      </c>
      <c r="K407" t="str">
        <f t="shared" si="110"/>
        <v>Cut</v>
      </c>
      <c r="L407" s="28">
        <f t="shared" si="111"/>
        <v>334.09415442107564</v>
      </c>
      <c r="M407" s="28">
        <f t="shared" si="112"/>
        <v>0</v>
      </c>
      <c r="N407" s="28">
        <f>SUM($L$3:L407)</f>
        <v>87674.76716982861</v>
      </c>
      <c r="O407" s="28">
        <f>SUM($M$3:M407)</f>
        <v>79470.022047077</v>
      </c>
      <c r="Q407">
        <f>MATCH(C407,Ground!$A$3:$A$1999,1)</f>
        <v>119</v>
      </c>
      <c r="R407">
        <f ca="1">OFFSET(Ground!$A$2,Volume!Q407,0)</f>
        <v>7540</v>
      </c>
      <c r="S407">
        <f ca="1">OFFSET(Ground!$A$2,Volume!Q407,1)</f>
        <v>622.053388</v>
      </c>
      <c r="T407">
        <f ca="1">OFFSET(Ground!$A$2,Volume!Q407+1,0)</f>
        <v>7570</v>
      </c>
      <c r="U407">
        <f ca="1">OFFSET(Ground!$A$2,Volume!Q407+1,1)</f>
        <v>621.647074</v>
      </c>
      <c r="V407" s="26"/>
      <c r="W407">
        <f t="shared" si="106"/>
        <v>-66.1591670122616</v>
      </c>
      <c r="X407">
        <f>IF(Volume!W407&lt;'Temp Calcs'!$E$8,1,0)</f>
        <v>1</v>
      </c>
      <c r="Z407">
        <f t="shared" si="107"/>
        <v>65.60522091708431</v>
      </c>
      <c r="AA407">
        <f>IF(Volume!Z407&gt;'Temp Calcs'!$L$8,1,0)</f>
        <v>1</v>
      </c>
      <c r="AB407" s="6"/>
      <c r="AC407" s="5"/>
    </row>
    <row r="408" spans="1:29" ht="12.75">
      <c r="A408" s="1">
        <v>407</v>
      </c>
      <c r="B408" s="1"/>
      <c r="C408" s="31">
        <f t="shared" si="113"/>
        <v>7574.340000000002</v>
      </c>
      <c r="D408" s="8">
        <f t="shared" si="114"/>
        <v>621.1424420107719</v>
      </c>
      <c r="E408" s="7">
        <f t="shared" si="115"/>
        <v>-1.9694793536804356</v>
      </c>
      <c r="F408" s="5"/>
      <c r="G408">
        <f t="shared" si="108"/>
        <v>621.5837192586666</v>
      </c>
      <c r="H408" s="8">
        <f t="shared" si="109"/>
        <v>-0.4412772478947318</v>
      </c>
      <c r="I408" s="30">
        <f>IF(H408&lt;1,(Data!$G$16+14+0.8*Data!$G$17+Data!$G$18*(1-H408))*(1-H408),(Data!$G$16+6+Data!$G$17*(H408-0.6))*(H408-0.6))</f>
        <v>43.35730135333473</v>
      </c>
      <c r="J408" s="28">
        <f t="shared" si="99"/>
        <v>346.8413832576819</v>
      </c>
      <c r="K408" t="str">
        <f t="shared" si="110"/>
        <v>Cut</v>
      </c>
      <c r="L408" s="28">
        <f t="shared" si="111"/>
        <v>346.8413832576819</v>
      </c>
      <c r="M408" s="28">
        <f t="shared" si="112"/>
        <v>0</v>
      </c>
      <c r="N408" s="28">
        <f>SUM($L$3:L408)</f>
        <v>88021.60855308629</v>
      </c>
      <c r="O408" s="28">
        <f>SUM($M$3:M408)</f>
        <v>79470.022047077</v>
      </c>
      <c r="Q408">
        <f>MATCH(C408,Ground!$A$3:$A$1999,1)</f>
        <v>120</v>
      </c>
      <c r="R408">
        <f ca="1">OFFSET(Ground!$A$2,Volume!Q408,0)</f>
        <v>7570</v>
      </c>
      <c r="S408">
        <f ca="1">OFFSET(Ground!$A$2,Volume!Q408,1)</f>
        <v>621.647074</v>
      </c>
      <c r="T408">
        <f ca="1">OFFSET(Ground!$A$2,Volume!Q408+1,0)</f>
        <v>7600</v>
      </c>
      <c r="U408">
        <f ca="1">OFFSET(Ground!$A$2,Volume!Q408+1,1)</f>
        <v>621.209138</v>
      </c>
      <c r="V408" s="26"/>
      <c r="W408">
        <f t="shared" si="106"/>
        <v>-67.0309911440733</v>
      </c>
      <c r="X408">
        <f>IF(Volume!W408&lt;'Temp Calcs'!$E$8,1,0)</f>
        <v>1</v>
      </c>
      <c r="Z408">
        <f t="shared" si="107"/>
        <v>66.47291499653673</v>
      </c>
      <c r="AA408">
        <f>IF(Volume!Z408&gt;'Temp Calcs'!$L$8,1,0)</f>
        <v>1</v>
      </c>
      <c r="AB408" s="6"/>
      <c r="AC408" s="5"/>
    </row>
    <row r="409" spans="1:29" ht="12.75">
      <c r="A409" s="1">
        <v>408</v>
      </c>
      <c r="B409" s="1"/>
      <c r="C409" s="31">
        <f t="shared" si="113"/>
        <v>7582.480000000002</v>
      </c>
      <c r="D409" s="8">
        <f t="shared" si="114"/>
        <v>620.9821263913824</v>
      </c>
      <c r="E409" s="7">
        <f t="shared" si="115"/>
        <v>-1.9694793536804356</v>
      </c>
      <c r="F409" s="5"/>
      <c r="G409">
        <f t="shared" si="108"/>
        <v>621.464892624</v>
      </c>
      <c r="H409" s="8">
        <f t="shared" si="109"/>
        <v>-0.48276623261756413</v>
      </c>
      <c r="I409" s="30">
        <f>IF(H409&lt;1,(Data!$G$16+14+0.8*Data!$G$17+Data!$G$18*(1-H409))*(1-H409),(Data!$G$16+6+Data!$G$17*(H409-0.6))*(H409-0.6))</f>
        <v>44.72843292837951</v>
      </c>
      <c r="J409" s="28">
        <f t="shared" si="99"/>
        <v>358.50893852659135</v>
      </c>
      <c r="K409" t="str">
        <f t="shared" si="110"/>
        <v>Cut</v>
      </c>
      <c r="L409" s="28">
        <f t="shared" si="111"/>
        <v>358.50893852659135</v>
      </c>
      <c r="M409" s="28">
        <f t="shared" si="112"/>
        <v>0</v>
      </c>
      <c r="N409" s="28">
        <f>SUM($L$3:L409)</f>
        <v>88380.11749161288</v>
      </c>
      <c r="O409" s="28">
        <f>SUM($M$3:M409)</f>
        <v>79470.022047077</v>
      </c>
      <c r="Q409">
        <f>MATCH(C409,Ground!$A$3:$A$1999,1)</f>
        <v>120</v>
      </c>
      <c r="R409">
        <f ca="1">OFFSET(Ground!$A$2,Volume!Q409,0)</f>
        <v>7570</v>
      </c>
      <c r="S409">
        <f ca="1">OFFSET(Ground!$A$2,Volume!Q409,1)</f>
        <v>621.647074</v>
      </c>
      <c r="T409">
        <f ca="1">OFFSET(Ground!$A$2,Volume!Q409+1,0)</f>
        <v>7600</v>
      </c>
      <c r="U409">
        <f ca="1">OFFSET(Ground!$A$2,Volume!Q409+1,1)</f>
        <v>621.209138</v>
      </c>
      <c r="V409" s="26"/>
      <c r="W409">
        <f t="shared" si="106"/>
        <v>-67.9159130359791</v>
      </c>
      <c r="X409">
        <f>IF(Volume!W409&lt;'Temp Calcs'!$E$8,1,0)</f>
        <v>1</v>
      </c>
      <c r="Z409">
        <f t="shared" si="107"/>
        <v>67.35364478866681</v>
      </c>
      <c r="AA409">
        <f>IF(Volume!Z409&gt;'Temp Calcs'!$L$8,1,0)</f>
        <v>1</v>
      </c>
      <c r="AB409" s="6"/>
      <c r="AC409" s="5"/>
    </row>
    <row r="410" spans="1:29" ht="12.75">
      <c r="A410" s="1">
        <v>409</v>
      </c>
      <c r="B410" s="1"/>
      <c r="C410" s="31">
        <f t="shared" si="113"/>
        <v>7590.620000000003</v>
      </c>
      <c r="D410" s="8">
        <f t="shared" si="114"/>
        <v>620.8218107719928</v>
      </c>
      <c r="E410" s="7">
        <f t="shared" si="115"/>
        <v>-1.9694793536804356</v>
      </c>
      <c r="F410" s="5"/>
      <c r="G410">
        <f t="shared" si="108"/>
        <v>621.3460659893333</v>
      </c>
      <c r="H410" s="8">
        <f t="shared" si="109"/>
        <v>-0.5242552173405102</v>
      </c>
      <c r="I410" s="30">
        <f>IF(H410&lt;1,(Data!$G$16+14+0.8*Data!$G$17+Data!$G$18*(1-H410))*(1-H410),(Data!$G$16+6+Data!$G$17*(H410-0.6))*(H410-0.6))</f>
        <v>46.10644984684141</v>
      </c>
      <c r="J410" s="28">
        <f t="shared" si="99"/>
        <v>369.697972895164</v>
      </c>
      <c r="K410" t="str">
        <f t="shared" si="110"/>
        <v>Cut</v>
      </c>
      <c r="L410" s="28">
        <f t="shared" si="111"/>
        <v>369.697972895164</v>
      </c>
      <c r="M410" s="28">
        <f t="shared" si="112"/>
        <v>0</v>
      </c>
      <c r="N410" s="28">
        <f>SUM($L$3:L410)</f>
        <v>88749.81546450805</v>
      </c>
      <c r="O410" s="28">
        <f>SUM($M$3:M410)</f>
        <v>79470.022047077</v>
      </c>
      <c r="Q410">
        <f>MATCH(C410,Ground!$A$3:$A$1999,1)</f>
        <v>120</v>
      </c>
      <c r="R410">
        <f ca="1">OFFSET(Ground!$A$2,Volume!Q410,0)</f>
        <v>7570</v>
      </c>
      <c r="S410">
        <f ca="1">OFFSET(Ground!$A$2,Volume!Q410,1)</f>
        <v>621.647074</v>
      </c>
      <c r="T410">
        <f ca="1">OFFSET(Ground!$A$2,Volume!Q410+1,0)</f>
        <v>7600</v>
      </c>
      <c r="U410">
        <f ca="1">OFFSET(Ground!$A$2,Volume!Q410+1,1)</f>
        <v>621.209138</v>
      </c>
      <c r="V410" s="26"/>
      <c r="W410">
        <f t="shared" si="106"/>
        <v>-68.81423008118348</v>
      </c>
      <c r="X410">
        <f>IF(Volume!W410&lt;'Temp Calcs'!$E$8,1,0)</f>
        <v>1</v>
      </c>
      <c r="Z410">
        <f t="shared" si="107"/>
        <v>68.24770627785186</v>
      </c>
      <c r="AA410">
        <f>IF(Volume!Z410&gt;'Temp Calcs'!$L$8,1,0)</f>
        <v>1</v>
      </c>
      <c r="AB410" s="6"/>
      <c r="AC410" s="5"/>
    </row>
    <row r="411" spans="1:29" ht="12.75">
      <c r="A411" s="1">
        <v>410</v>
      </c>
      <c r="B411" s="1"/>
      <c r="C411" s="31">
        <f t="shared" si="113"/>
        <v>7598.760000000003</v>
      </c>
      <c r="D411" s="8">
        <f t="shared" si="114"/>
        <v>620.6614951526032</v>
      </c>
      <c r="E411" s="7">
        <f t="shared" si="115"/>
        <v>-1.9694793536804356</v>
      </c>
      <c r="F411" s="5"/>
      <c r="G411">
        <f t="shared" si="108"/>
        <v>621.2272393546667</v>
      </c>
      <c r="H411" s="8">
        <f t="shared" si="109"/>
        <v>-0.5657442020635699</v>
      </c>
      <c r="I411" s="30">
        <f>IF(H411&lt;1,(Data!$G$16+14+0.8*Data!$G$17+Data!$G$18*(1-H411))*(1-H411),(Data!$G$16+6+Data!$G$17*(H411-0.6))*(H411-0.6))</f>
        <v>47.49135210872047</v>
      </c>
      <c r="J411" s="28">
        <f t="shared" si="99"/>
        <v>380.94305395915217</v>
      </c>
      <c r="K411" t="str">
        <f t="shared" si="110"/>
        <v>Cut</v>
      </c>
      <c r="L411" s="28">
        <f t="shared" si="111"/>
        <v>380.94305395915217</v>
      </c>
      <c r="M411" s="28">
        <f t="shared" si="112"/>
        <v>0</v>
      </c>
      <c r="N411" s="28">
        <f>SUM($L$3:L411)</f>
        <v>89130.7585184672</v>
      </c>
      <c r="O411" s="28">
        <f>SUM($M$3:M411)</f>
        <v>79470.022047077</v>
      </c>
      <c r="Q411">
        <f>MATCH(C411,Ground!$A$3:$A$1999,1)</f>
        <v>120</v>
      </c>
      <c r="R411">
        <f ca="1">OFFSET(Ground!$A$2,Volume!Q411,0)</f>
        <v>7570</v>
      </c>
      <c r="S411">
        <f ca="1">OFFSET(Ground!$A$2,Volume!Q411,1)</f>
        <v>621.647074</v>
      </c>
      <c r="T411">
        <f ca="1">OFFSET(Ground!$A$2,Volume!Q411+1,0)</f>
        <v>7600</v>
      </c>
      <c r="U411">
        <f ca="1">OFFSET(Ground!$A$2,Volume!Q411+1,1)</f>
        <v>621.209138</v>
      </c>
      <c r="V411" s="26"/>
      <c r="W411">
        <f t="shared" si="106"/>
        <v>-69.72624874489452</v>
      </c>
      <c r="X411">
        <f>IF(Volume!W411&lt;'Temp Calcs'!$E$8,1,0)</f>
        <v>1</v>
      </c>
      <c r="Z411">
        <f t="shared" si="107"/>
        <v>69.15540447749645</v>
      </c>
      <c r="AA411">
        <f>IF(Volume!Z411&gt;'Temp Calcs'!$L$8,1,0)</f>
        <v>1</v>
      </c>
      <c r="AB411" s="6"/>
      <c r="AC411" s="5"/>
    </row>
    <row r="412" spans="1:29" ht="12.75">
      <c r="A412" s="1">
        <v>411</v>
      </c>
      <c r="B412" s="1"/>
      <c r="C412" s="31">
        <f t="shared" si="113"/>
        <v>7606.900000000003</v>
      </c>
      <c r="D412" s="8">
        <f t="shared" si="114"/>
        <v>620.5011795332135</v>
      </c>
      <c r="E412" s="7">
        <f t="shared" si="115"/>
        <v>-1.9694793536804356</v>
      </c>
      <c r="F412" s="5"/>
      <c r="G412">
        <f t="shared" si="108"/>
        <v>621.09546487</v>
      </c>
      <c r="H412" s="8">
        <f t="shared" si="109"/>
        <v>-0.59428533678647</v>
      </c>
      <c r="I412" s="30">
        <f>IF(H412&lt;1,(Data!$G$16+14+0.8*Data!$G$17+Data!$G$18*(1-H412))*(1-H412),(Data!$G$16+6+Data!$G$17*(H412-0.6))*(H412-0.6))</f>
        <v>48.44805263077668</v>
      </c>
      <c r="J412" s="28">
        <f t="shared" si="99"/>
        <v>390.47337728976913</v>
      </c>
      <c r="K412" t="str">
        <f t="shared" si="110"/>
        <v>Cut</v>
      </c>
      <c r="L412" s="28">
        <f t="shared" si="111"/>
        <v>390.47337728976913</v>
      </c>
      <c r="M412" s="28">
        <f t="shared" si="112"/>
        <v>0</v>
      </c>
      <c r="N412" s="28">
        <f>SUM($L$3:L412)</f>
        <v>89521.23189575698</v>
      </c>
      <c r="O412" s="28">
        <f>SUM($M$3:M412)</f>
        <v>79470.022047077</v>
      </c>
      <c r="Q412">
        <f>MATCH(C412,Ground!$A$3:$A$1999,1)</f>
        <v>121</v>
      </c>
      <c r="R412">
        <f ca="1">OFFSET(Ground!$A$2,Volume!Q412,0)</f>
        <v>7600</v>
      </c>
      <c r="S412">
        <f ca="1">OFFSET(Ground!$A$2,Volume!Q412,1)</f>
        <v>621.209138</v>
      </c>
      <c r="T412">
        <f ca="1">OFFSET(Ground!$A$2,Volume!Q412+1,0)</f>
        <v>7630</v>
      </c>
      <c r="U412">
        <f ca="1">OFFSET(Ground!$A$2,Volume!Q412+1,1)</f>
        <v>620.714907</v>
      </c>
      <c r="V412" s="26"/>
      <c r="W412">
        <f t="shared" si="106"/>
        <v>-70.65228491291158</v>
      </c>
      <c r="X412">
        <f>IF(Volume!W412&lt;'Temp Calcs'!$E$8,1,0)</f>
        <v>1</v>
      </c>
      <c r="Z412">
        <f t="shared" si="107"/>
        <v>70.07705377696864</v>
      </c>
      <c r="AA412">
        <f>IF(Volume!Z412&gt;'Temp Calcs'!$L$8,1,0)</f>
        <v>1</v>
      </c>
      <c r="AB412" s="6"/>
      <c r="AC412" s="5"/>
    </row>
    <row r="413" spans="1:29" ht="12.75">
      <c r="A413" s="1">
        <v>412</v>
      </c>
      <c r="B413" s="1"/>
      <c r="C413" s="31">
        <f t="shared" si="113"/>
        <v>7615.040000000004</v>
      </c>
      <c r="D413" s="8">
        <f t="shared" si="114"/>
        <v>620.340863913824</v>
      </c>
      <c r="E413" s="7">
        <f t="shared" si="115"/>
        <v>-1.9694793536804356</v>
      </c>
      <c r="F413" s="5"/>
      <c r="G413">
        <f t="shared" si="108"/>
        <v>620.9613635253334</v>
      </c>
      <c r="H413" s="8">
        <f t="shared" si="109"/>
        <v>-0.6204996115093309</v>
      </c>
      <c r="I413" s="30">
        <f>IF(H413&lt;1,(Data!$G$16+14+0.8*Data!$G$17+Data!$G$18*(1-H413))*(1-H413),(Data!$G$16+6+Data!$G$17*(H413-0.6))*(H413-0.6))</f>
        <v>49.32962741485758</v>
      </c>
      <c r="J413" s="28">
        <f t="shared" si="99"/>
        <v>397.9551577857475</v>
      </c>
      <c r="K413" t="str">
        <f t="shared" si="110"/>
        <v>Cut</v>
      </c>
      <c r="L413" s="28">
        <f t="shared" si="111"/>
        <v>397.9551577857475</v>
      </c>
      <c r="M413" s="28">
        <f t="shared" si="112"/>
        <v>0</v>
      </c>
      <c r="N413" s="28">
        <f>SUM($L$3:L413)</f>
        <v>89919.18705354273</v>
      </c>
      <c r="O413" s="28">
        <f>SUM($M$3:M413)</f>
        <v>79470.022047077</v>
      </c>
      <c r="Q413">
        <f>MATCH(C413,Ground!$A$3:$A$1999,1)</f>
        <v>121</v>
      </c>
      <c r="R413">
        <f ca="1">OFFSET(Ground!$A$2,Volume!Q413,0)</f>
        <v>7600</v>
      </c>
      <c r="S413">
        <f ca="1">OFFSET(Ground!$A$2,Volume!Q413,1)</f>
        <v>621.209138</v>
      </c>
      <c r="T413">
        <f ca="1">OFFSET(Ground!$A$2,Volume!Q413+1,0)</f>
        <v>7630</v>
      </c>
      <c r="U413">
        <f ca="1">OFFSET(Ground!$A$2,Volume!Q413+1,1)</f>
        <v>620.714907</v>
      </c>
      <c r="V413" s="26"/>
      <c r="W413">
        <f t="shared" si="106"/>
        <v>-71.59266425640834</v>
      </c>
      <c r="X413">
        <f>IF(Volume!W413&lt;'Temp Calcs'!$E$8,1,0)</f>
        <v>1</v>
      </c>
      <c r="Z413">
        <f t="shared" si="107"/>
        <v>71.01297830465506</v>
      </c>
      <c r="AA413">
        <f>IF(Volume!Z413&gt;'Temp Calcs'!$L$8,1,0)</f>
        <v>1</v>
      </c>
      <c r="AB413" s="6"/>
      <c r="AC413" s="5"/>
    </row>
    <row r="414" spans="1:29" ht="12.75">
      <c r="A414" s="1">
        <v>413</v>
      </c>
      <c r="B414" s="1"/>
      <c r="C414" s="31">
        <f t="shared" si="113"/>
        <v>7623.180000000004</v>
      </c>
      <c r="D414" s="8">
        <f t="shared" si="114"/>
        <v>620.1805482944344</v>
      </c>
      <c r="E414" s="7">
        <f t="shared" si="115"/>
        <v>-1.9694793536804356</v>
      </c>
      <c r="F414" s="5"/>
      <c r="G414">
        <f t="shared" si="108"/>
        <v>620.8272621806666</v>
      </c>
      <c r="H414" s="8">
        <f t="shared" si="109"/>
        <v>-0.6467138862321917</v>
      </c>
      <c r="I414" s="30">
        <f>IF(H414&lt;1,(Data!$G$16+14+0.8*Data!$G$17+Data!$G$18*(1-H414))*(1-H414),(Data!$G$16+6+Data!$G$17*(H414-0.6))*(H414-0.6))</f>
        <v>50.21395095173547</v>
      </c>
      <c r="J414" s="28">
        <f t="shared" si="99"/>
        <v>405.14236395205</v>
      </c>
      <c r="K414" t="str">
        <f t="shared" si="110"/>
        <v>Cut</v>
      </c>
      <c r="L414" s="28">
        <f t="shared" si="111"/>
        <v>405.14236395205</v>
      </c>
      <c r="M414" s="28">
        <f t="shared" si="112"/>
        <v>0</v>
      </c>
      <c r="N414" s="28">
        <f>SUM($L$3:L414)</f>
        <v>90324.32941749478</v>
      </c>
      <c r="O414" s="28">
        <f>SUM($M$3:M414)</f>
        <v>79470.022047077</v>
      </c>
      <c r="Q414">
        <f>MATCH(C414,Ground!$A$3:$A$1999,1)</f>
        <v>121</v>
      </c>
      <c r="R414">
        <f ca="1">OFFSET(Ground!$A$2,Volume!Q414,0)</f>
        <v>7600</v>
      </c>
      <c r="S414">
        <f ca="1">OFFSET(Ground!$A$2,Volume!Q414,1)</f>
        <v>621.209138</v>
      </c>
      <c r="T414">
        <f ca="1">OFFSET(Ground!$A$2,Volume!Q414+1,0)</f>
        <v>7630</v>
      </c>
      <c r="U414">
        <f ca="1">OFFSET(Ground!$A$2,Volume!Q414+1,1)</f>
        <v>620.714907</v>
      </c>
      <c r="V414" s="26"/>
      <c r="W414">
        <f t="shared" si="106"/>
        <v>-72.54772261380063</v>
      </c>
      <c r="X414">
        <f>IF(Volume!W414&lt;'Temp Calcs'!$E$8,1,0)</f>
        <v>1</v>
      </c>
      <c r="Z414">
        <f t="shared" si="107"/>
        <v>71.96351230801967</v>
      </c>
      <c r="AA414">
        <f>IF(Volume!Z414&gt;'Temp Calcs'!$L$8,1,0)</f>
        <v>1</v>
      </c>
      <c r="AB414" s="6"/>
      <c r="AC414" s="5"/>
    </row>
    <row r="415" spans="1:29" ht="12.75">
      <c r="A415" s="1">
        <v>414</v>
      </c>
      <c r="B415" s="1"/>
      <c r="C415" s="31">
        <f t="shared" si="113"/>
        <v>7631.320000000004</v>
      </c>
      <c r="D415" s="8">
        <f t="shared" si="114"/>
        <v>620.0202326750448</v>
      </c>
      <c r="E415" s="7">
        <f t="shared" si="115"/>
        <v>-1.9694793536804356</v>
      </c>
      <c r="F415" s="5"/>
      <c r="G415">
        <f t="shared" si="108"/>
        <v>620.6931542799999</v>
      </c>
      <c r="H415" s="8">
        <f t="shared" si="109"/>
        <v>-0.6729216049551496</v>
      </c>
      <c r="I415" s="30">
        <f>IF(H415&lt;1,(Data!$G$16+14+0.8*Data!$G$17+Data!$G$18*(1-H415))*(1-H415),(Data!$G$16+6+Data!$G$17*(H415-0.6))*(H415-0.6))</f>
        <v>51.100801047431496</v>
      </c>
      <c r="J415" s="28">
        <f t="shared" si="99"/>
        <v>412.3510406366261</v>
      </c>
      <c r="K415" t="str">
        <f t="shared" si="110"/>
        <v>Cut</v>
      </c>
      <c r="L415" s="28">
        <f t="shared" si="111"/>
        <v>412.3510406366261</v>
      </c>
      <c r="M415" s="28">
        <f t="shared" si="112"/>
        <v>0</v>
      </c>
      <c r="N415" s="28">
        <f>SUM($L$3:L415)</f>
        <v>90736.6804581314</v>
      </c>
      <c r="O415" s="28">
        <f>SUM($M$3:M415)</f>
        <v>79470.022047077</v>
      </c>
      <c r="Q415">
        <f>MATCH(C415,Ground!$A$3:$A$1999,1)</f>
        <v>122</v>
      </c>
      <c r="R415">
        <f ca="1">OFFSET(Ground!$A$2,Volume!Q415,0)</f>
        <v>7630</v>
      </c>
      <c r="S415">
        <f ca="1">OFFSET(Ground!$A$2,Volume!Q415,1)</f>
        <v>620.714907</v>
      </c>
      <c r="T415">
        <f ca="1">OFFSET(Ground!$A$2,Volume!Q415+1,0)</f>
        <v>7660</v>
      </c>
      <c r="U415">
        <f ca="1">OFFSET(Ground!$A$2,Volume!Q415+1,1)</f>
        <v>620.220527</v>
      </c>
      <c r="V415" s="26"/>
      <c r="W415">
        <f t="shared" si="106"/>
        <v>-73.51780639063341</v>
      </c>
      <c r="X415">
        <f>IF(Volume!W415&lt;'Temp Calcs'!$E$8,1,0)</f>
        <v>1</v>
      </c>
      <c r="Z415">
        <f t="shared" si="107"/>
        <v>72.92900055159636</v>
      </c>
      <c r="AA415">
        <f>IF(Volume!Z415&gt;'Temp Calcs'!$L$8,1,0)</f>
        <v>1</v>
      </c>
      <c r="AB415" s="6"/>
      <c r="AC415" s="5"/>
    </row>
    <row r="416" spans="1:29" ht="12.75">
      <c r="A416" s="1">
        <v>415</v>
      </c>
      <c r="B416" s="1"/>
      <c r="C416" s="31">
        <f t="shared" si="113"/>
        <v>7639.460000000005</v>
      </c>
      <c r="D416" s="8">
        <f t="shared" si="114"/>
        <v>619.8599170556552</v>
      </c>
      <c r="E416" s="7">
        <f t="shared" si="115"/>
        <v>-1.9694793536804356</v>
      </c>
      <c r="F416" s="5"/>
      <c r="G416">
        <f t="shared" si="108"/>
        <v>620.5590125066666</v>
      </c>
      <c r="H416" s="8">
        <f t="shared" si="109"/>
        <v>-0.6990954510114307</v>
      </c>
      <c r="I416" s="30">
        <f>IF(H416&lt;1,(Data!$G$16+14+0.8*Data!$G$17+Data!$G$18*(1-H416))*(1-H416),(Data!$G$16+6+Data!$G$17*(H416-0.6))*(H416-0.6))</f>
        <v>51.989246970806384</v>
      </c>
      <c r="J416" s="28">
        <f t="shared" si="99"/>
        <v>419.57649543424503</v>
      </c>
      <c r="K416" t="str">
        <f t="shared" si="110"/>
        <v>Cut</v>
      </c>
      <c r="L416" s="28">
        <f t="shared" si="111"/>
        <v>419.57649543424503</v>
      </c>
      <c r="M416" s="28">
        <f t="shared" si="112"/>
        <v>0</v>
      </c>
      <c r="N416" s="28">
        <f>SUM($L$3:L416)</f>
        <v>91156.25695356565</v>
      </c>
      <c r="O416" s="28">
        <f>SUM($M$3:M416)</f>
        <v>79470.022047077</v>
      </c>
      <c r="Q416">
        <f>MATCH(C416,Ground!$A$3:$A$1999,1)</f>
        <v>122</v>
      </c>
      <c r="R416">
        <f ca="1">OFFSET(Ground!$A$2,Volume!Q416,0)</f>
        <v>7630</v>
      </c>
      <c r="S416">
        <f ca="1">OFFSET(Ground!$A$2,Volume!Q416,1)</f>
        <v>620.714907</v>
      </c>
      <c r="T416">
        <f ca="1">OFFSET(Ground!$A$2,Volume!Q416+1,0)</f>
        <v>7660</v>
      </c>
      <c r="U416">
        <f ca="1">OFFSET(Ground!$A$2,Volume!Q416+1,1)</f>
        <v>620.220527</v>
      </c>
      <c r="V416" s="26"/>
      <c r="W416">
        <f t="shared" si="106"/>
        <v>-74.503272978495</v>
      </c>
      <c r="X416">
        <f>IF(Volume!W416&lt;'Temp Calcs'!$E$8,1,0)</f>
        <v>1</v>
      </c>
      <c r="Z416">
        <f t="shared" si="107"/>
        <v>73.90979873391872</v>
      </c>
      <c r="AA416">
        <f>IF(Volume!Z416&gt;'Temp Calcs'!$L$8,1,0)</f>
        <v>1</v>
      </c>
      <c r="AB416" s="6"/>
      <c r="AC416" s="5"/>
    </row>
    <row r="417" spans="1:29" ht="12.75">
      <c r="A417" s="1">
        <v>416</v>
      </c>
      <c r="B417" s="1"/>
      <c r="C417" s="31">
        <f t="shared" si="113"/>
        <v>7647.600000000005</v>
      </c>
      <c r="D417" s="8">
        <f t="shared" si="114"/>
        <v>619.6996014362657</v>
      </c>
      <c r="E417" s="7">
        <f t="shared" si="115"/>
        <v>-1.9694793536804356</v>
      </c>
      <c r="F417" s="5"/>
      <c r="G417">
        <f t="shared" si="108"/>
        <v>620.4248707333333</v>
      </c>
      <c r="H417" s="8">
        <f t="shared" si="109"/>
        <v>-0.725269297067598</v>
      </c>
      <c r="I417" s="30">
        <f>IF(H417&lt;1,(Data!$G$16+14+0.8*Data!$G$17+Data!$G$18*(1-H417))*(1-H417),(Data!$G$16+6+Data!$G$17*(H417-0.6))*(H417-0.6))</f>
        <v>52.88043317504691</v>
      </c>
      <c r="J417" s="28">
        <f t="shared" si="99"/>
        <v>426.8195981936401</v>
      </c>
      <c r="K417" t="str">
        <f t="shared" si="110"/>
        <v>Cut</v>
      </c>
      <c r="L417" s="28">
        <f t="shared" si="111"/>
        <v>426.8195981936401</v>
      </c>
      <c r="M417" s="28">
        <f t="shared" si="112"/>
        <v>0</v>
      </c>
      <c r="N417" s="28">
        <f>SUM($L$3:L417)</f>
        <v>91583.0765517593</v>
      </c>
      <c r="O417" s="28">
        <f>SUM($M$3:M417)</f>
        <v>79470.022047077</v>
      </c>
      <c r="Q417">
        <f>MATCH(C417,Ground!$A$3:$A$1999,1)</f>
        <v>122</v>
      </c>
      <c r="R417">
        <f ca="1">OFFSET(Ground!$A$2,Volume!Q417,0)</f>
        <v>7630</v>
      </c>
      <c r="S417">
        <f ca="1">OFFSET(Ground!$A$2,Volume!Q417,1)</f>
        <v>620.714907</v>
      </c>
      <c r="T417">
        <f ca="1">OFFSET(Ground!$A$2,Volume!Q417+1,0)</f>
        <v>7660</v>
      </c>
      <c r="U417">
        <f ca="1">OFFSET(Ground!$A$2,Volume!Q417+1,1)</f>
        <v>620.220527</v>
      </c>
      <c r="V417" s="26"/>
      <c r="W417">
        <f t="shared" si="106"/>
        <v>-75.50449119401665</v>
      </c>
      <c r="X417">
        <f>IF(Volume!W417&lt;'Temp Calcs'!$E$8,1,0)</f>
        <v>1</v>
      </c>
      <c r="Z417">
        <f t="shared" si="107"/>
        <v>74.90627392443993</v>
      </c>
      <c r="AA417">
        <f>IF(Volume!Z417&gt;'Temp Calcs'!$L$8,1,0)</f>
        <v>1</v>
      </c>
      <c r="AB417" s="6"/>
      <c r="AC417" s="5"/>
    </row>
    <row r="418" spans="1:29" ht="12.75">
      <c r="A418" s="1">
        <v>417</v>
      </c>
      <c r="B418" s="1"/>
      <c r="C418" s="31">
        <f t="shared" si="113"/>
        <v>7655.740000000005</v>
      </c>
      <c r="D418" s="8">
        <f t="shared" si="114"/>
        <v>619.539285816876</v>
      </c>
      <c r="E418" s="7">
        <f t="shared" si="115"/>
        <v>-1.9694793536804356</v>
      </c>
      <c r="F418" s="5"/>
      <c r="G418">
        <f t="shared" si="108"/>
        <v>620.2907289599999</v>
      </c>
      <c r="H418" s="8">
        <f t="shared" si="109"/>
        <v>-0.751443143123879</v>
      </c>
      <c r="I418" s="30">
        <f>IF(H418&lt;1,(Data!$G$16+14+0.8*Data!$G$17+Data!$G$18*(1-H418))*(1-H418),(Data!$G$16+6+Data!$G$17*(H418-0.6))*(H418-0.6))</f>
        <v>53.77435966016081</v>
      </c>
      <c r="J418" s="28">
        <f t="shared" si="99"/>
        <v>434.08500683931294</v>
      </c>
      <c r="K418" t="str">
        <f t="shared" si="110"/>
        <v>Cut</v>
      </c>
      <c r="L418" s="28">
        <f t="shared" si="111"/>
        <v>434.08500683931294</v>
      </c>
      <c r="M418" s="28">
        <f t="shared" si="112"/>
        <v>0</v>
      </c>
      <c r="N418" s="28">
        <f>SUM($L$3:L418)</f>
        <v>92017.16155859861</v>
      </c>
      <c r="O418" s="28">
        <f>SUM($M$3:M418)</f>
        <v>79470.022047077</v>
      </c>
      <c r="Q418">
        <f>MATCH(C418,Ground!$A$3:$A$1999,1)</f>
        <v>122</v>
      </c>
      <c r="R418">
        <f ca="1">OFFSET(Ground!$A$2,Volume!Q418,0)</f>
        <v>7630</v>
      </c>
      <c r="S418">
        <f ca="1">OFFSET(Ground!$A$2,Volume!Q418,1)</f>
        <v>620.714907</v>
      </c>
      <c r="T418">
        <f ca="1">OFFSET(Ground!$A$2,Volume!Q418+1,0)</f>
        <v>7660</v>
      </c>
      <c r="U418">
        <f ca="1">OFFSET(Ground!$A$2,Volume!Q418+1,1)</f>
        <v>620.220527</v>
      </c>
      <c r="V418" s="26"/>
      <c r="W418">
        <f t="shared" si="106"/>
        <v>-76.52184173909492</v>
      </c>
      <c r="X418">
        <f>IF(Volume!W418&lt;'Temp Calcs'!$E$8,1,0)</f>
        <v>1</v>
      </c>
      <c r="Z418">
        <f t="shared" si="107"/>
        <v>75.91880502157498</v>
      </c>
      <c r="AA418">
        <f>IF(Volume!Z418&gt;'Temp Calcs'!$L$8,1,0)</f>
        <v>1</v>
      </c>
      <c r="AB418" s="6"/>
      <c r="AC418" s="5"/>
    </row>
    <row r="419" spans="1:29" ht="12.75">
      <c r="A419" s="1">
        <v>418</v>
      </c>
      <c r="B419" s="1"/>
      <c r="C419" s="31">
        <f t="shared" si="113"/>
        <v>7663.880000000006</v>
      </c>
      <c r="D419" s="8">
        <f t="shared" si="114"/>
        <v>619.3789701974864</v>
      </c>
      <c r="E419" s="7">
        <f t="shared" si="115"/>
        <v>-1.9694793536804356</v>
      </c>
      <c r="F419" s="5"/>
      <c r="G419">
        <f t="shared" si="108"/>
        <v>620.1571219799998</v>
      </c>
      <c r="H419" s="8">
        <f t="shared" si="109"/>
        <v>-0.7781517825134188</v>
      </c>
      <c r="I419" s="30">
        <f>IF(H419&lt;1,(Data!$G$16+14+0.8*Data!$G$17+Data!$G$18*(1-H419))*(1-H419),(Data!$G$16+6+Data!$G$17*(H419-0.6))*(H419-0.6))</f>
        <v>54.68937600767629</v>
      </c>
      <c r="J419" s="28">
        <f t="shared" si="99"/>
        <v>441.44740416811476</v>
      </c>
      <c r="K419" t="str">
        <f t="shared" si="110"/>
        <v>Cut</v>
      </c>
      <c r="L419" s="28">
        <f t="shared" si="111"/>
        <v>441.44740416811476</v>
      </c>
      <c r="M419" s="28">
        <f t="shared" si="112"/>
        <v>0</v>
      </c>
      <c r="N419" s="28">
        <f>SUM($L$3:L419)</f>
        <v>92458.60896276672</v>
      </c>
      <c r="O419" s="28">
        <f>SUM($M$3:M419)</f>
        <v>79470.022047077</v>
      </c>
      <c r="Q419">
        <f>MATCH(C419,Ground!$A$3:$A$1999,1)</f>
        <v>123</v>
      </c>
      <c r="R419">
        <f ca="1">OFFSET(Ground!$A$2,Volume!Q419,0)</f>
        <v>7660</v>
      </c>
      <c r="S419">
        <f ca="1">OFFSET(Ground!$A$2,Volume!Q419,1)</f>
        <v>620.220527</v>
      </c>
      <c r="T419">
        <f ca="1">OFFSET(Ground!$A$2,Volume!Q419+1,0)</f>
        <v>7690</v>
      </c>
      <c r="U419">
        <f ca="1">OFFSET(Ground!$A$2,Volume!Q419+1,1)</f>
        <v>619.730282</v>
      </c>
      <c r="V419" s="26"/>
      <c r="W419">
        <f t="shared" si="106"/>
        <v>-77.55571768353688</v>
      </c>
      <c r="X419">
        <f>IF(Volume!W419&lt;'Temp Calcs'!$E$8,1,0)</f>
        <v>1</v>
      </c>
      <c r="Z419">
        <f t="shared" si="107"/>
        <v>76.94778323305941</v>
      </c>
      <c r="AA419">
        <f>IF(Volume!Z419&gt;'Temp Calcs'!$L$8,1,0)</f>
        <v>1</v>
      </c>
      <c r="AB419" s="6"/>
      <c r="AC419" s="5"/>
    </row>
    <row r="420" spans="1:29" ht="12.75">
      <c r="A420" s="1">
        <v>419</v>
      </c>
      <c r="B420" s="1"/>
      <c r="C420" s="31">
        <f t="shared" si="113"/>
        <v>7672.020000000006</v>
      </c>
      <c r="D420" s="8">
        <f t="shared" si="114"/>
        <v>619.2186545780968</v>
      </c>
      <c r="E420" s="7">
        <f t="shared" si="115"/>
        <v>-1.9694793536804356</v>
      </c>
      <c r="F420" s="5"/>
      <c r="G420">
        <f t="shared" si="108"/>
        <v>620.0241021699999</v>
      </c>
      <c r="H420" s="8">
        <f t="shared" si="109"/>
        <v>-0.8054475919030892</v>
      </c>
      <c r="I420" s="30">
        <f>IF(H420&lt;1,(Data!$G$16+14+0.8*Data!$G$17+Data!$G$18*(1-H420))*(1-H420),(Data!$G$16+6+Data!$G$17*(H420-0.6))*(H420-0.6))</f>
        <v>55.62745651398135</v>
      </c>
      <c r="J420" s="28">
        <f aca="true" t="shared" si="116" ref="J420:J483">(I420+I419)/2*(C420-C419)</f>
        <v>448.9895083631646</v>
      </c>
      <c r="K420" t="str">
        <f t="shared" si="110"/>
        <v>Cut</v>
      </c>
      <c r="L420" s="28">
        <f t="shared" si="111"/>
        <v>448.9895083631646</v>
      </c>
      <c r="M420" s="28">
        <f t="shared" si="112"/>
        <v>0</v>
      </c>
      <c r="N420" s="28">
        <f>SUM($L$3:L420)</f>
        <v>92907.5984711299</v>
      </c>
      <c r="O420" s="28">
        <f>SUM($M$3:M420)</f>
        <v>79470.022047077</v>
      </c>
      <c r="Q420">
        <f>MATCH(C420,Ground!$A$3:$A$1999,1)</f>
        <v>123</v>
      </c>
      <c r="R420">
        <f ca="1">OFFSET(Ground!$A$2,Volume!Q420,0)</f>
        <v>7660</v>
      </c>
      <c r="S420">
        <f ca="1">OFFSET(Ground!$A$2,Volume!Q420,1)</f>
        <v>620.220527</v>
      </c>
      <c r="T420">
        <f ca="1">OFFSET(Ground!$A$2,Volume!Q420+1,0)</f>
        <v>7690</v>
      </c>
      <c r="U420">
        <f ca="1">OFFSET(Ground!$A$2,Volume!Q420+1,1)</f>
        <v>619.730282</v>
      </c>
      <c r="V420" s="26"/>
      <c r="W420">
        <f t="shared" si="106"/>
        <v>-78.60652497142168</v>
      </c>
      <c r="X420">
        <f>IF(Volume!W420&lt;'Temp Calcs'!$E$8,1,0)</f>
        <v>1</v>
      </c>
      <c r="Z420">
        <f t="shared" si="107"/>
        <v>77.99361257991217</v>
      </c>
      <c r="AA420">
        <f>IF(Volume!Z420&gt;'Temp Calcs'!$L$8,1,0)</f>
        <v>1</v>
      </c>
      <c r="AB420" s="6"/>
      <c r="AC420" s="5"/>
    </row>
    <row r="421" spans="1:29" ht="12.75">
      <c r="A421" s="1">
        <v>420</v>
      </c>
      <c r="B421" s="1"/>
      <c r="C421" s="31">
        <f t="shared" si="113"/>
        <v>7680.160000000006</v>
      </c>
      <c r="D421" s="8">
        <f t="shared" si="114"/>
        <v>619.0583389587073</v>
      </c>
      <c r="E421" s="7">
        <f t="shared" si="115"/>
        <v>-1.9694793536804356</v>
      </c>
      <c r="F421" s="5"/>
      <c r="G421">
        <f t="shared" si="108"/>
        <v>619.8910823599999</v>
      </c>
      <c r="H421" s="8">
        <f t="shared" si="109"/>
        <v>-0.832743401292646</v>
      </c>
      <c r="I421" s="30">
        <f>IF(H421&lt;1,(Data!$G$16+14+0.8*Data!$G$17+Data!$G$18*(1-H421))*(1-H421),(Data!$G$16+6+Data!$G$17*(H421-0.6))*(H421-0.6))</f>
        <v>56.56851726512345</v>
      </c>
      <c r="J421" s="28">
        <f t="shared" si="116"/>
        <v>456.6376132809749</v>
      </c>
      <c r="K421" t="str">
        <f t="shared" si="110"/>
        <v>Cut</v>
      </c>
      <c r="L421" s="28">
        <f t="shared" si="111"/>
        <v>456.6376132809749</v>
      </c>
      <c r="M421" s="28">
        <f t="shared" si="112"/>
        <v>0</v>
      </c>
      <c r="N421" s="28">
        <f>SUM($L$3:L421)</f>
        <v>93364.23608441088</v>
      </c>
      <c r="O421" s="28">
        <f>SUM($M$3:M421)</f>
        <v>79470.022047077</v>
      </c>
      <c r="Q421">
        <f>MATCH(C421,Ground!$A$3:$A$1999,1)</f>
        <v>123</v>
      </c>
      <c r="R421">
        <f ca="1">OFFSET(Ground!$A$2,Volume!Q421,0)</f>
        <v>7660</v>
      </c>
      <c r="S421">
        <f ca="1">OFFSET(Ground!$A$2,Volume!Q421,1)</f>
        <v>620.220527</v>
      </c>
      <c r="T421">
        <f ca="1">OFFSET(Ground!$A$2,Volume!Q421+1,0)</f>
        <v>7690</v>
      </c>
      <c r="U421">
        <f ca="1">OFFSET(Ground!$A$2,Volume!Q421+1,1)</f>
        <v>619.730282</v>
      </c>
      <c r="V421" s="26"/>
      <c r="W421">
        <f t="shared" si="106"/>
        <v>-79.6746829525424</v>
      </c>
      <c r="X421">
        <f>IF(Volume!W421&lt;'Temp Calcs'!$E$8,1,0)</f>
        <v>1</v>
      </c>
      <c r="Z421">
        <f t="shared" si="107"/>
        <v>79.05671042535984</v>
      </c>
      <c r="AA421">
        <f>IF(Volume!Z421&gt;'Temp Calcs'!$L$8,1,0)</f>
        <v>1</v>
      </c>
      <c r="AB421" s="6"/>
      <c r="AC421" s="5"/>
    </row>
    <row r="422" spans="1:29" ht="12.75">
      <c r="A422" s="1">
        <v>421</v>
      </c>
      <c r="B422" s="1"/>
      <c r="C422" s="31">
        <f t="shared" si="113"/>
        <v>7688.300000000007</v>
      </c>
      <c r="D422" s="8">
        <f t="shared" si="114"/>
        <v>618.8980233393177</v>
      </c>
      <c r="E422" s="7">
        <f t="shared" si="115"/>
        <v>-1.9694793536804356</v>
      </c>
      <c r="F422" s="5"/>
      <c r="G422">
        <f t="shared" si="108"/>
        <v>619.7580625499999</v>
      </c>
      <c r="H422" s="8">
        <f t="shared" si="109"/>
        <v>-0.8600392106822028</v>
      </c>
      <c r="I422" s="30">
        <f>IF(H422&lt;1,(Data!$G$16+14+0.8*Data!$G$17+Data!$G$18*(1-H422))*(1-H422),(Data!$G$16+6+Data!$G$17*(H422-0.6))*(H422-0.6))</f>
        <v>57.512558261106456</v>
      </c>
      <c r="J422" s="28">
        <f t="shared" si="116"/>
        <v>464.3099773917744</v>
      </c>
      <c r="K422" t="str">
        <f t="shared" si="110"/>
        <v>Cut</v>
      </c>
      <c r="L422" s="28">
        <f t="shared" si="111"/>
        <v>464.3099773917744</v>
      </c>
      <c r="M422" s="28">
        <f t="shared" si="112"/>
        <v>0</v>
      </c>
      <c r="N422" s="28">
        <f>SUM($L$3:L422)</f>
        <v>93828.54606180266</v>
      </c>
      <c r="O422" s="28">
        <f>SUM($M$3:M422)</f>
        <v>79470.022047077</v>
      </c>
      <c r="Q422">
        <f>MATCH(C422,Ground!$A$3:$A$1999,1)</f>
        <v>123</v>
      </c>
      <c r="R422">
        <f ca="1">OFFSET(Ground!$A$2,Volume!Q422,0)</f>
        <v>7660</v>
      </c>
      <c r="S422">
        <f ca="1">OFFSET(Ground!$A$2,Volume!Q422,1)</f>
        <v>620.220527</v>
      </c>
      <c r="T422">
        <f ca="1">OFFSET(Ground!$A$2,Volume!Q422+1,0)</f>
        <v>7690</v>
      </c>
      <c r="U422">
        <f ca="1">OFFSET(Ground!$A$2,Volume!Q422+1,1)</f>
        <v>619.730282</v>
      </c>
      <c r="V422" s="26"/>
      <c r="W422">
        <f t="shared" si="106"/>
        <v>-80.76062494039492</v>
      </c>
      <c r="X422">
        <f>IF(Volume!W422&lt;'Temp Calcs'!$E$8,1,0)</f>
        <v>1</v>
      </c>
      <c r="Z422">
        <f t="shared" si="107"/>
        <v>80.1375080301822</v>
      </c>
      <c r="AA422">
        <f>IF(Volume!Z422&gt;'Temp Calcs'!$L$8,1,0)</f>
        <v>1</v>
      </c>
      <c r="AB422" s="6"/>
      <c r="AC422" s="5"/>
    </row>
    <row r="423" spans="1:29" ht="12.75">
      <c r="A423" s="1">
        <v>422</v>
      </c>
      <c r="B423" s="1"/>
      <c r="C423" s="31">
        <f t="shared" si="113"/>
        <v>7696.440000000007</v>
      </c>
      <c r="D423" s="8">
        <f t="shared" si="114"/>
        <v>618.737707719928</v>
      </c>
      <c r="E423" s="7">
        <f t="shared" si="115"/>
        <v>-1.9694793536804356</v>
      </c>
      <c r="F423" s="5"/>
      <c r="G423">
        <f t="shared" si="108"/>
        <v>619.6223649879998</v>
      </c>
      <c r="H423" s="8">
        <f t="shared" si="109"/>
        <v>-0.8846572680718054</v>
      </c>
      <c r="I423" s="30">
        <f>IF(H423&lt;1,(Data!$G$16+14+0.8*Data!$G$17+Data!$G$18*(1-H423))*(1-H423),(Data!$G$16+6+Data!$G$17*(H423-0.6))*(H423-0.6))</f>
        <v>58.36654372774487</v>
      </c>
      <c r="J423" s="28">
        <f t="shared" si="116"/>
        <v>471.62794509464385</v>
      </c>
      <c r="K423" t="str">
        <f t="shared" si="110"/>
        <v>Cut</v>
      </c>
      <c r="L423" s="28">
        <f t="shared" si="111"/>
        <v>471.62794509464385</v>
      </c>
      <c r="M423" s="28">
        <f t="shared" si="112"/>
        <v>0</v>
      </c>
      <c r="N423" s="28">
        <f>SUM($L$3:L423)</f>
        <v>94300.1740068973</v>
      </c>
      <c r="O423" s="28">
        <f>SUM($M$3:M423)</f>
        <v>79470.022047077</v>
      </c>
      <c r="Q423">
        <f>MATCH(C423,Ground!$A$3:$A$1999,1)</f>
        <v>124</v>
      </c>
      <c r="R423">
        <f ca="1">OFFSET(Ground!$A$2,Volume!Q423,0)</f>
        <v>7690</v>
      </c>
      <c r="S423">
        <f ca="1">OFFSET(Ground!$A$2,Volume!Q423,1)</f>
        <v>619.730282</v>
      </c>
      <c r="T423">
        <f ca="1">OFFSET(Ground!$A$2,Volume!Q423+1,0)</f>
        <v>7720</v>
      </c>
      <c r="U423">
        <f ca="1">OFFSET(Ground!$A$2,Volume!Q423+1,1)</f>
        <v>619.227563</v>
      </c>
      <c r="V423" s="26"/>
      <c r="W423">
        <f t="shared" si="106"/>
        <v>-81.86479879826628</v>
      </c>
      <c r="X423">
        <f>IF(Volume!W423&lt;'Temp Calcs'!$E$8,1,0)</f>
        <v>1</v>
      </c>
      <c r="Z423">
        <f t="shared" si="107"/>
        <v>81.23645113602416</v>
      </c>
      <c r="AA423">
        <f>IF(Volume!Z423&gt;'Temp Calcs'!$L$8,1,0)</f>
        <v>1</v>
      </c>
      <c r="AB423" s="6"/>
      <c r="AC423" s="5"/>
    </row>
    <row r="424" spans="1:29" ht="12.75">
      <c r="A424" s="1">
        <v>423</v>
      </c>
      <c r="B424" s="1"/>
      <c r="C424" s="31">
        <f t="shared" si="113"/>
        <v>7704.580000000007</v>
      </c>
      <c r="D424" s="8">
        <f t="shared" si="114"/>
        <v>618.5773921005384</v>
      </c>
      <c r="E424" s="7">
        <f t="shared" si="115"/>
        <v>-1.9694793536804356</v>
      </c>
      <c r="F424" s="5"/>
      <c r="G424">
        <f t="shared" si="108"/>
        <v>619.4859605659999</v>
      </c>
      <c r="H424" s="8">
        <f t="shared" si="109"/>
        <v>-0.9085684654614852</v>
      </c>
      <c r="I424" s="30">
        <f>IF(H424&lt;1,(Data!$G$16+14+0.8*Data!$G$17+Data!$G$18*(1-H424))*(1-H424),(Data!$G$16+6+Data!$G$17*(H424-0.6))*(H424-0.6))</f>
        <v>59.19832943526041</v>
      </c>
      <c r="J424" s="28">
        <f t="shared" si="116"/>
        <v>478.4890337734507</v>
      </c>
      <c r="K424" t="str">
        <f t="shared" si="110"/>
        <v>Cut</v>
      </c>
      <c r="L424" s="28">
        <f t="shared" si="111"/>
        <v>478.4890337734507</v>
      </c>
      <c r="M424" s="28">
        <f t="shared" si="112"/>
        <v>0</v>
      </c>
      <c r="N424" s="28">
        <f>SUM($L$3:L424)</f>
        <v>94778.66304067076</v>
      </c>
      <c r="O424" s="28">
        <f>SUM($M$3:M424)</f>
        <v>79470.022047077</v>
      </c>
      <c r="Q424">
        <f>MATCH(C424,Ground!$A$3:$A$1999,1)</f>
        <v>124</v>
      </c>
      <c r="R424">
        <f ca="1">OFFSET(Ground!$A$2,Volume!Q424,0)</f>
        <v>7690</v>
      </c>
      <c r="S424">
        <f ca="1">OFFSET(Ground!$A$2,Volume!Q424,1)</f>
        <v>619.730282</v>
      </c>
      <c r="T424">
        <f ca="1">OFFSET(Ground!$A$2,Volume!Q424+1,0)</f>
        <v>7720</v>
      </c>
      <c r="U424">
        <f ca="1">OFFSET(Ground!$A$2,Volume!Q424+1,1)</f>
        <v>619.227563</v>
      </c>
      <c r="V424" s="26"/>
      <c r="W424">
        <f t="shared" si="106"/>
        <v>-82.98766755509719</v>
      </c>
      <c r="X424">
        <f>IF(Volume!W424&lt;'Temp Calcs'!$E$8,1,0)</f>
        <v>1</v>
      </c>
      <c r="Z424">
        <f t="shared" si="107"/>
        <v>82.35400057834072</v>
      </c>
      <c r="AA424">
        <f>IF(Volume!Z424&gt;'Temp Calcs'!$L$8,1,0)</f>
        <v>1</v>
      </c>
      <c r="AB424" s="6"/>
      <c r="AC424" s="5"/>
    </row>
    <row r="425" spans="1:29" ht="12.75">
      <c r="A425" s="1">
        <v>424</v>
      </c>
      <c r="B425" s="1"/>
      <c r="C425" s="31">
        <f t="shared" si="113"/>
        <v>7712.7200000000075</v>
      </c>
      <c r="D425" s="8">
        <f t="shared" si="114"/>
        <v>618.4170764811489</v>
      </c>
      <c r="E425" s="7">
        <f t="shared" si="115"/>
        <v>-1.9694793536804356</v>
      </c>
      <c r="F425" s="5"/>
      <c r="G425">
        <f t="shared" si="108"/>
        <v>619.3495561439998</v>
      </c>
      <c r="H425" s="8">
        <f t="shared" si="109"/>
        <v>-0.9324796628509375</v>
      </c>
      <c r="I425" s="30">
        <f>IF(H425&lt;1,(Data!$G$16+14+0.8*Data!$G$17+Data!$G$18*(1-H425))*(1-H425),(Data!$G$16+6+Data!$G$17*(H425-0.6))*(H425-0.6))</f>
        <v>60.03240212421045</v>
      </c>
      <c r="J425" s="28">
        <f t="shared" si="116"/>
        <v>485.2690774470659</v>
      </c>
      <c r="K425" t="str">
        <f t="shared" si="110"/>
        <v>Cut</v>
      </c>
      <c r="L425" s="28">
        <f t="shared" si="111"/>
        <v>485.2690774470659</v>
      </c>
      <c r="M425" s="28">
        <f t="shared" si="112"/>
        <v>0</v>
      </c>
      <c r="N425" s="28">
        <f>SUM($L$3:L425)</f>
        <v>95263.93211811782</v>
      </c>
      <c r="O425" s="28">
        <f>SUM($M$3:M425)</f>
        <v>79470.022047077</v>
      </c>
      <c r="Q425">
        <f>MATCH(C425,Ground!$A$3:$A$1999,1)</f>
        <v>124</v>
      </c>
      <c r="R425">
        <f ca="1">OFFSET(Ground!$A$2,Volume!Q425,0)</f>
        <v>7690</v>
      </c>
      <c r="S425">
        <f ca="1">OFFSET(Ground!$A$2,Volume!Q425,1)</f>
        <v>619.730282</v>
      </c>
      <c r="T425">
        <f ca="1">OFFSET(Ground!$A$2,Volume!Q425+1,0)</f>
        <v>7720</v>
      </c>
      <c r="U425">
        <f ca="1">OFFSET(Ground!$A$2,Volume!Q425+1,1)</f>
        <v>619.227563</v>
      </c>
      <c r="V425" s="26"/>
      <c r="W425">
        <f t="shared" si="106"/>
        <v>-84.12971005289045</v>
      </c>
      <c r="X425">
        <f>IF(Volume!W425&lt;'Temp Calcs'!$E$8,1,0)</f>
        <v>1</v>
      </c>
      <c r="Z425">
        <f t="shared" si="107"/>
        <v>83.49063293073847</v>
      </c>
      <c r="AA425">
        <f>IF(Volume!Z425&gt;'Temp Calcs'!$L$8,1,0)</f>
        <v>1</v>
      </c>
      <c r="AB425" s="6"/>
      <c r="AC425" s="5"/>
    </row>
    <row r="426" spans="1:29" ht="12.75">
      <c r="A426" s="1">
        <v>425</v>
      </c>
      <c r="B426" s="1"/>
      <c r="C426" s="31">
        <f t="shared" si="113"/>
        <v>7720.860000000008</v>
      </c>
      <c r="D426" s="8">
        <f t="shared" si="114"/>
        <v>618.2567608617593</v>
      </c>
      <c r="E426" s="7">
        <f t="shared" si="115"/>
        <v>-1.9694793536804356</v>
      </c>
      <c r="F426" s="5"/>
      <c r="G426">
        <f t="shared" si="108"/>
        <v>619.2100611973332</v>
      </c>
      <c r="H426" s="8">
        <f t="shared" si="109"/>
        <v>-0.9533003355738856</v>
      </c>
      <c r="I426" s="30">
        <f>IF(H426&lt;1,(Data!$G$16+14+0.8*Data!$G$17+Data!$G$18*(1-H426))*(1-H426),(Data!$G$16+6+Data!$G$17*(H426-0.6))*(H426-0.6))</f>
        <v>60.7605335295158</v>
      </c>
      <c r="J426" s="28">
        <f t="shared" si="116"/>
        <v>491.62724811068557</v>
      </c>
      <c r="K426" t="str">
        <f t="shared" si="110"/>
        <v>Cut</v>
      </c>
      <c r="L426" s="28">
        <f t="shared" si="111"/>
        <v>491.62724811068557</v>
      </c>
      <c r="M426" s="28">
        <f t="shared" si="112"/>
        <v>0</v>
      </c>
      <c r="N426" s="28">
        <f>SUM($L$3:L426)</f>
        <v>95755.55936622851</v>
      </c>
      <c r="O426" s="28">
        <f>SUM($M$3:M426)</f>
        <v>79470.022047077</v>
      </c>
      <c r="Q426">
        <f>MATCH(C426,Ground!$A$3:$A$1999,1)</f>
        <v>125</v>
      </c>
      <c r="R426">
        <f ca="1">OFFSET(Ground!$A$2,Volume!Q426,0)</f>
        <v>7720</v>
      </c>
      <c r="S426">
        <f ca="1">OFFSET(Ground!$A$2,Volume!Q426,1)</f>
        <v>619.227563</v>
      </c>
      <c r="T426">
        <f ca="1">OFFSET(Ground!$A$2,Volume!Q426+1,0)</f>
        <v>7750</v>
      </c>
      <c r="U426">
        <f ca="1">OFFSET(Ground!$A$2,Volume!Q426+1,1)</f>
        <v>618.617035</v>
      </c>
      <c r="V426" s="26"/>
      <c r="W426">
        <f t="shared" si="106"/>
        <v>-85.29142162757276</v>
      </c>
      <c r="X426">
        <f>IF(Volume!W426&lt;'Temp Calcs'!$E$8,1,0)</f>
        <v>1</v>
      </c>
      <c r="Z426">
        <f t="shared" si="107"/>
        <v>84.64684118261205</v>
      </c>
      <c r="AA426">
        <f>IF(Volume!Z426&gt;'Temp Calcs'!$L$8,1,0)</f>
        <v>1</v>
      </c>
      <c r="AB426" s="6"/>
      <c r="AC426" s="5"/>
    </row>
    <row r="427" spans="1:29" ht="12.75">
      <c r="A427" s="1">
        <v>426</v>
      </c>
      <c r="B427" s="1"/>
      <c r="C427" s="31">
        <f t="shared" si="113"/>
        <v>7729.000000000008</v>
      </c>
      <c r="D427" s="8">
        <f t="shared" si="114"/>
        <v>618.0964452423697</v>
      </c>
      <c r="E427" s="7">
        <f t="shared" si="115"/>
        <v>-1.9694793536804356</v>
      </c>
      <c r="F427" s="5"/>
      <c r="G427">
        <f t="shared" si="108"/>
        <v>619.0444045999999</v>
      </c>
      <c r="H427" s="8">
        <f t="shared" si="109"/>
        <v>-0.947959357630225</v>
      </c>
      <c r="I427" s="30">
        <f>IF(H427&lt;1,(Data!$G$16+14+0.8*Data!$G$17+Data!$G$18*(1-H427))*(1-H427),(Data!$G$16+6+Data!$G$17*(H427-0.6))*(H427-0.6))</f>
        <v>60.57358584550044</v>
      </c>
      <c r="J427" s="28">
        <f t="shared" si="116"/>
        <v>493.8298658563359</v>
      </c>
      <c r="K427" t="str">
        <f t="shared" si="110"/>
        <v>Cut</v>
      </c>
      <c r="L427" s="28">
        <f t="shared" si="111"/>
        <v>493.8298658563359</v>
      </c>
      <c r="M427" s="28">
        <f t="shared" si="112"/>
        <v>0</v>
      </c>
      <c r="N427" s="28">
        <f>SUM($L$3:L427)</f>
        <v>96249.38923208484</v>
      </c>
      <c r="O427" s="28">
        <f>SUM($M$3:M427)</f>
        <v>79470.022047077</v>
      </c>
      <c r="Q427">
        <f>MATCH(C427,Ground!$A$3:$A$1999,1)</f>
        <v>125</v>
      </c>
      <c r="R427">
        <f ca="1">OFFSET(Ground!$A$2,Volume!Q427,0)</f>
        <v>7720</v>
      </c>
      <c r="S427">
        <f ca="1">OFFSET(Ground!$A$2,Volume!Q427,1)</f>
        <v>619.227563</v>
      </c>
      <c r="T427">
        <f ca="1">OFFSET(Ground!$A$2,Volume!Q427+1,0)</f>
        <v>7750</v>
      </c>
      <c r="U427">
        <f ca="1">OFFSET(Ground!$A$2,Volume!Q427+1,1)</f>
        <v>618.617035</v>
      </c>
      <c r="V427" s="26"/>
      <c r="W427">
        <f t="shared" si="106"/>
        <v>-86.47331482533598</v>
      </c>
      <c r="X427">
        <f>IF(Volume!W427&lt;'Temp Calcs'!$E$8,1,0)</f>
        <v>1</v>
      </c>
      <c r="Z427">
        <f t="shared" si="107"/>
        <v>85.82313545209178</v>
      </c>
      <c r="AA427">
        <f>IF(Volume!Z427&gt;'Temp Calcs'!$L$8,1,0)</f>
        <v>1</v>
      </c>
      <c r="AB427" s="6"/>
      <c r="AC427" s="5"/>
    </row>
    <row r="428" spans="1:29" ht="12.75">
      <c r="A428" s="1">
        <v>427</v>
      </c>
      <c r="B428" s="1"/>
      <c r="C428" s="31">
        <f t="shared" si="113"/>
        <v>7737.1400000000085</v>
      </c>
      <c r="D428" s="8">
        <f t="shared" si="114"/>
        <v>617.93612962298</v>
      </c>
      <c r="E428" s="7">
        <f t="shared" si="115"/>
        <v>-1.9694793536804356</v>
      </c>
      <c r="F428" s="5"/>
      <c r="G428">
        <f t="shared" si="108"/>
        <v>618.8787480026665</v>
      </c>
      <c r="H428" s="8">
        <f t="shared" si="109"/>
        <v>-0.9426183796864507</v>
      </c>
      <c r="I428" s="30">
        <f>IF(H428&lt;1,(Data!$G$16+14+0.8*Data!$G$17+Data!$G$18*(1-H428))*(1-H428),(Data!$G$16+6+Data!$G$17*(H428-0.6))*(H428-0.6))</f>
        <v>60.38675226566268</v>
      </c>
      <c r="J428" s="28">
        <f t="shared" si="116"/>
        <v>492.30857611245364</v>
      </c>
      <c r="K428" t="str">
        <f t="shared" si="110"/>
        <v>Cut</v>
      </c>
      <c r="L428" s="28">
        <f t="shared" si="111"/>
        <v>492.30857611245364</v>
      </c>
      <c r="M428" s="28">
        <f t="shared" si="112"/>
        <v>0</v>
      </c>
      <c r="N428" s="28">
        <f>SUM($L$3:L428)</f>
        <v>96741.69780819729</v>
      </c>
      <c r="O428" s="28">
        <f>SUM($M$3:M428)</f>
        <v>79470.022047077</v>
      </c>
      <c r="Q428">
        <f>MATCH(C428,Ground!$A$3:$A$1999,1)</f>
        <v>125</v>
      </c>
      <c r="R428">
        <f ca="1">OFFSET(Ground!$A$2,Volume!Q428,0)</f>
        <v>7720</v>
      </c>
      <c r="S428">
        <f ca="1">OFFSET(Ground!$A$2,Volume!Q428,1)</f>
        <v>619.227563</v>
      </c>
      <c r="T428">
        <f ca="1">OFFSET(Ground!$A$2,Volume!Q428+1,0)</f>
        <v>7750</v>
      </c>
      <c r="U428">
        <f ca="1">OFFSET(Ground!$A$2,Volume!Q428+1,1)</f>
        <v>618.617035</v>
      </c>
      <c r="V428" s="26"/>
      <c r="W428">
        <f t="shared" si="106"/>
        <v>-87.67592015664397</v>
      </c>
      <c r="X428">
        <f>IF(Volume!W428&lt;'Temp Calcs'!$E$8,1,0)</f>
        <v>1</v>
      </c>
      <c r="Z428">
        <f t="shared" si="107"/>
        <v>87.0200437364787</v>
      </c>
      <c r="AA428">
        <f>IF(Volume!Z428&gt;'Temp Calcs'!$L$8,1,0)</f>
        <v>1</v>
      </c>
      <c r="AB428" s="6"/>
      <c r="AC428" s="5"/>
    </row>
    <row r="429" spans="1:29" ht="12.75">
      <c r="A429" s="1">
        <v>428</v>
      </c>
      <c r="B429" s="1"/>
      <c r="C429" s="31">
        <f t="shared" si="113"/>
        <v>7745.280000000009</v>
      </c>
      <c r="D429" s="8">
        <f t="shared" si="114"/>
        <v>617.7758140035905</v>
      </c>
      <c r="E429" s="7">
        <f t="shared" si="115"/>
        <v>-1.9694793536804356</v>
      </c>
      <c r="F429" s="5"/>
      <c r="G429">
        <f t="shared" si="108"/>
        <v>618.7130914053331</v>
      </c>
      <c r="H429" s="8">
        <f t="shared" si="109"/>
        <v>-0.9372774017425627</v>
      </c>
      <c r="I429" s="30">
        <f>IF(H429&lt;1,(Data!$G$16+14+0.8*Data!$G$17+Data!$G$18*(1-H429))*(1-H429),(Data!$G$16+6+Data!$G$17*(H429-0.6))*(H429-0.6))</f>
        <v>60.20003279000253</v>
      </c>
      <c r="J429" s="28">
        <f t="shared" si="116"/>
        <v>490.7882151765772</v>
      </c>
      <c r="K429" t="str">
        <f t="shared" si="110"/>
        <v>Cut</v>
      </c>
      <c r="L429" s="28">
        <f t="shared" si="111"/>
        <v>490.7882151765772</v>
      </c>
      <c r="M429" s="28">
        <f t="shared" si="112"/>
        <v>0</v>
      </c>
      <c r="N429" s="28">
        <f>SUM($L$3:L429)</f>
        <v>97232.48602337387</v>
      </c>
      <c r="O429" s="28">
        <f>SUM($M$3:M429)</f>
        <v>79470.022047077</v>
      </c>
      <c r="Q429">
        <f>MATCH(C429,Ground!$A$3:$A$1999,1)</f>
        <v>125</v>
      </c>
      <c r="R429">
        <f ca="1">OFFSET(Ground!$A$2,Volume!Q429,0)</f>
        <v>7720</v>
      </c>
      <c r="S429">
        <f ca="1">OFFSET(Ground!$A$2,Volume!Q429,1)</f>
        <v>619.227563</v>
      </c>
      <c r="T429">
        <f ca="1">OFFSET(Ground!$A$2,Volume!Q429+1,0)</f>
        <v>7750</v>
      </c>
      <c r="U429">
        <f ca="1">OFFSET(Ground!$A$2,Volume!Q429+1,1)</f>
        <v>618.617035</v>
      </c>
      <c r="V429" s="26"/>
      <c r="W429">
        <f t="shared" si="106"/>
        <v>-88.89978689022776</v>
      </c>
      <c r="X429">
        <f>IF(Volume!W429&lt;'Temp Calcs'!$E$8,1,0)</f>
        <v>1</v>
      </c>
      <c r="Z429">
        <f t="shared" si="107"/>
        <v>88.23811270247836</v>
      </c>
      <c r="AA429">
        <f>IF(Volume!Z429&gt;'Temp Calcs'!$L$8,1,0)</f>
        <v>1</v>
      </c>
      <c r="AB429" s="6"/>
      <c r="AC429" s="5"/>
    </row>
    <row r="430" spans="1:29" ht="12.75">
      <c r="A430" s="1">
        <v>429</v>
      </c>
      <c r="B430" s="1"/>
      <c r="C430" s="31">
        <f t="shared" si="113"/>
        <v>7753.420000000009</v>
      </c>
      <c r="D430" s="8">
        <f t="shared" si="114"/>
        <v>617.6154983842009</v>
      </c>
      <c r="E430" s="7">
        <f t="shared" si="115"/>
        <v>-1.9694793536804356</v>
      </c>
      <c r="F430" s="5"/>
      <c r="G430">
        <f t="shared" si="108"/>
        <v>618.5424948459998</v>
      </c>
      <c r="H430" s="8">
        <f t="shared" si="109"/>
        <v>-0.9269964617989217</v>
      </c>
      <c r="I430" s="30">
        <f>IF(H430&lt;1,(Data!$G$16+14+0.8*Data!$G$17+Data!$G$18*(1-H430))*(1-H430),(Data!$G$16+6+Data!$G$17*(H430-0.6))*(H430-0.6))</f>
        <v>59.840934488501794</v>
      </c>
      <c r="J430" s="28">
        <f t="shared" si="116"/>
        <v>488.56673682353227</v>
      </c>
      <c r="K430" t="str">
        <f t="shared" si="110"/>
        <v>Cut</v>
      </c>
      <c r="L430" s="28">
        <f t="shared" si="111"/>
        <v>488.56673682353227</v>
      </c>
      <c r="M430" s="28">
        <f t="shared" si="112"/>
        <v>0</v>
      </c>
      <c r="N430" s="28">
        <f>SUM($L$3:L430)</f>
        <v>97721.0527601974</v>
      </c>
      <c r="O430" s="28">
        <f>SUM($M$3:M430)</f>
        <v>79470.022047077</v>
      </c>
      <c r="Q430">
        <f>MATCH(C430,Ground!$A$3:$A$1999,1)</f>
        <v>126</v>
      </c>
      <c r="R430">
        <f ca="1">OFFSET(Ground!$A$2,Volume!Q430,0)</f>
        <v>7750</v>
      </c>
      <c r="S430">
        <f ca="1">OFFSET(Ground!$A$2,Volume!Q430,1)</f>
        <v>618.617035</v>
      </c>
      <c r="T430">
        <f ca="1">OFFSET(Ground!$A$2,Volume!Q430+1,0)</f>
        <v>7780</v>
      </c>
      <c r="U430">
        <f ca="1">OFFSET(Ground!$A$2,Volume!Q430+1,1)</f>
        <v>617.963174</v>
      </c>
      <c r="V430" s="26"/>
      <c r="W430">
        <f t="shared" si="106"/>
        <v>-90.14548388957179</v>
      </c>
      <c r="X430">
        <f>IF(Volume!W430&lt;'Temp Calcs'!$E$8,1,0)</f>
        <v>1</v>
      </c>
      <c r="Z430">
        <f t="shared" si="107"/>
        <v>89.47790851872438</v>
      </c>
      <c r="AA430">
        <f>IF(Volume!Z430&gt;'Temp Calcs'!$L$8,1,0)</f>
        <v>1</v>
      </c>
      <c r="AB430" s="6"/>
      <c r="AC430" s="5"/>
    </row>
    <row r="431" spans="1:29" ht="12.75">
      <c r="A431" s="1">
        <v>430</v>
      </c>
      <c r="B431" s="1"/>
      <c r="C431" s="31">
        <f t="shared" si="113"/>
        <v>7761.5600000000095</v>
      </c>
      <c r="D431" s="8">
        <f t="shared" si="114"/>
        <v>617.4551827648113</v>
      </c>
      <c r="E431" s="7">
        <f t="shared" si="115"/>
        <v>-1.9694793536804356</v>
      </c>
      <c r="F431" s="5"/>
      <c r="G431">
        <f t="shared" si="108"/>
        <v>618.3650805613331</v>
      </c>
      <c r="H431" s="8">
        <f t="shared" si="109"/>
        <v>-0.9098977965218182</v>
      </c>
      <c r="I431" s="30">
        <f>IF(H431&lt;1,(Data!$G$16+14+0.8*Data!$G$17+Data!$G$18*(1-H431))*(1-H431),(Data!$G$16+6+Data!$G$17*(H431-0.6))*(H431-0.6))</f>
        <v>59.24463925171125</v>
      </c>
      <c r="J431" s="28">
        <f t="shared" si="116"/>
        <v>484.6782851226866</v>
      </c>
      <c r="K431" t="str">
        <f t="shared" si="110"/>
        <v>Cut</v>
      </c>
      <c r="L431" s="28">
        <f t="shared" si="111"/>
        <v>484.6782851226866</v>
      </c>
      <c r="M431" s="28">
        <f t="shared" si="112"/>
        <v>0</v>
      </c>
      <c r="N431" s="28">
        <f>SUM($L$3:L431)</f>
        <v>98205.73104532009</v>
      </c>
      <c r="O431" s="28">
        <f>SUM($M$3:M431)</f>
        <v>79470.022047077</v>
      </c>
      <c r="Q431">
        <f>MATCH(C431,Ground!$A$3:$A$1999,1)</f>
        <v>126</v>
      </c>
      <c r="R431">
        <f ca="1">OFFSET(Ground!$A$2,Volume!Q431,0)</f>
        <v>7750</v>
      </c>
      <c r="S431">
        <f ca="1">OFFSET(Ground!$A$2,Volume!Q431,1)</f>
        <v>618.617035</v>
      </c>
      <c r="T431">
        <f ca="1">OFFSET(Ground!$A$2,Volume!Q431+1,0)</f>
        <v>7780</v>
      </c>
      <c r="U431">
        <f ca="1">OFFSET(Ground!$A$2,Volume!Q431+1,1)</f>
        <v>617.963174</v>
      </c>
      <c r="V431" s="26"/>
      <c r="W431">
        <f t="shared" si="106"/>
        <v>-91.41360049455872</v>
      </c>
      <c r="X431">
        <f>IF(Volume!W431&lt;'Temp Calcs'!$E$8,1,0)</f>
        <v>1</v>
      </c>
      <c r="Z431">
        <f t="shared" si="107"/>
        <v>90.7400177332467</v>
      </c>
      <c r="AA431">
        <f>IF(Volume!Z431&gt;'Temp Calcs'!$L$8,1,0)</f>
        <v>1</v>
      </c>
      <c r="AB431" s="6"/>
      <c r="AC431" s="5"/>
    </row>
    <row r="432" spans="1:29" ht="12.75">
      <c r="A432" s="1">
        <v>431</v>
      </c>
      <c r="B432" s="1"/>
      <c r="C432" s="31">
        <f t="shared" si="113"/>
        <v>7769.70000000001</v>
      </c>
      <c r="D432" s="8">
        <f t="shared" si="114"/>
        <v>617.2948671454217</v>
      </c>
      <c r="E432" s="7">
        <f t="shared" si="115"/>
        <v>-1.9694793536804356</v>
      </c>
      <c r="F432" s="5"/>
      <c r="G432">
        <f t="shared" si="108"/>
        <v>618.1876662766664</v>
      </c>
      <c r="H432" s="8">
        <f t="shared" si="109"/>
        <v>-0.8927991312447148</v>
      </c>
      <c r="I432" s="30">
        <f>IF(H432&lt;1,(Data!$G$16+14+0.8*Data!$G$17+Data!$G$18*(1-H432))*(1-H432),(Data!$G$16+6+Data!$G$17*(H432-0.6))*(H432-0.6))</f>
        <v>58.64951347233774</v>
      </c>
      <c r="J432" s="28">
        <f t="shared" si="116"/>
        <v>479.82920158689865</v>
      </c>
      <c r="K432" t="str">
        <f t="shared" si="110"/>
        <v>Cut</v>
      </c>
      <c r="L432" s="28">
        <f t="shared" si="111"/>
        <v>479.82920158689865</v>
      </c>
      <c r="M432" s="28">
        <f t="shared" si="112"/>
        <v>0</v>
      </c>
      <c r="N432" s="28">
        <f>SUM($L$3:L432)</f>
        <v>98685.56024690699</v>
      </c>
      <c r="O432" s="28">
        <f>SUM($M$3:M432)</f>
        <v>79470.022047077</v>
      </c>
      <c r="Q432">
        <f>MATCH(C432,Ground!$A$3:$A$1999,1)</f>
        <v>126</v>
      </c>
      <c r="R432">
        <f ca="1">OFFSET(Ground!$A$2,Volume!Q432,0)</f>
        <v>7750</v>
      </c>
      <c r="S432">
        <f ca="1">OFFSET(Ground!$A$2,Volume!Q432,1)</f>
        <v>618.617035</v>
      </c>
      <c r="T432">
        <f ca="1">OFFSET(Ground!$A$2,Volume!Q432+1,0)</f>
        <v>7780</v>
      </c>
      <c r="U432">
        <f ca="1">OFFSET(Ground!$A$2,Volume!Q432+1,1)</f>
        <v>617.963174</v>
      </c>
      <c r="V432" s="26"/>
      <c r="W432">
        <f t="shared" si="106"/>
        <v>-92.70474745115489</v>
      </c>
      <c r="X432">
        <f>IF(Volume!W432&lt;'Temp Calcs'!$E$8,1,0)</f>
        <v>1</v>
      </c>
      <c r="Z432">
        <f t="shared" si="107"/>
        <v>92.02504819875287</v>
      </c>
      <c r="AA432">
        <f>IF(Volume!Z432&gt;'Temp Calcs'!$L$8,1,0)</f>
        <v>1</v>
      </c>
      <c r="AB432" s="6"/>
      <c r="AC432" s="5"/>
    </row>
    <row r="433" spans="1:29" ht="12.75">
      <c r="A433" s="1">
        <v>432</v>
      </c>
      <c r="B433" s="1"/>
      <c r="C433" s="31">
        <f t="shared" si="113"/>
        <v>7777.84000000001</v>
      </c>
      <c r="D433" s="8">
        <f t="shared" si="114"/>
        <v>617.1345515260322</v>
      </c>
      <c r="E433" s="7">
        <f t="shared" si="115"/>
        <v>-1.9694793536804356</v>
      </c>
      <c r="F433" s="5"/>
      <c r="G433">
        <f t="shared" si="108"/>
        <v>618.0102519919998</v>
      </c>
      <c r="H433" s="8">
        <f t="shared" si="109"/>
        <v>-0.8757004659676113</v>
      </c>
      <c r="I433" s="30">
        <f>IF(H433&lt;1,(Data!$G$16+14+0.8*Data!$G$17+Data!$G$18*(1-H433))*(1-H433),(Data!$G$16+6+Data!$G$17*(H433-0.6))*(H433-0.6))</f>
        <v>58.055557150381254</v>
      </c>
      <c r="J433" s="28">
        <f t="shared" si="116"/>
        <v>474.9896374344854</v>
      </c>
      <c r="K433" t="str">
        <f t="shared" si="110"/>
        <v>Cut</v>
      </c>
      <c r="L433" s="28">
        <f t="shared" si="111"/>
        <v>474.9896374344854</v>
      </c>
      <c r="M433" s="28">
        <f t="shared" si="112"/>
        <v>0</v>
      </c>
      <c r="N433" s="28">
        <f>SUM($L$3:L433)</f>
        <v>99160.54988434147</v>
      </c>
      <c r="O433" s="28">
        <f>SUM($M$3:M433)</f>
        <v>79470.022047077</v>
      </c>
      <c r="Q433">
        <f>MATCH(C433,Ground!$A$3:$A$1999,1)</f>
        <v>126</v>
      </c>
      <c r="R433">
        <f ca="1">OFFSET(Ground!$A$2,Volume!Q433,0)</f>
        <v>7750</v>
      </c>
      <c r="S433">
        <f ca="1">OFFSET(Ground!$A$2,Volume!Q433,1)</f>
        <v>618.617035</v>
      </c>
      <c r="T433">
        <f ca="1">OFFSET(Ground!$A$2,Volume!Q433+1,0)</f>
        <v>7780</v>
      </c>
      <c r="U433">
        <f ca="1">OFFSET(Ground!$A$2,Volume!Q433+1,1)</f>
        <v>617.963174</v>
      </c>
      <c r="V433" s="26"/>
      <c r="W433">
        <f t="shared" si="106"/>
        <v>-94.01955789220865</v>
      </c>
      <c r="X433">
        <f>IF(Volume!W433&lt;'Temp Calcs'!$E$8,1,0)</f>
        <v>1</v>
      </c>
      <c r="Z433">
        <f t="shared" si="107"/>
        <v>93.33363004878015</v>
      </c>
      <c r="AA433">
        <f>IF(Volume!Z433&gt;'Temp Calcs'!$L$8,1,0)</f>
        <v>1</v>
      </c>
      <c r="AB433" s="6"/>
      <c r="AC433" s="5"/>
    </row>
    <row r="434" spans="1:29" ht="12.75">
      <c r="A434" s="1">
        <v>433</v>
      </c>
      <c r="B434" s="1"/>
      <c r="C434" s="31">
        <f t="shared" si="113"/>
        <v>7785.9800000000105</v>
      </c>
      <c r="D434" s="8">
        <f t="shared" si="114"/>
        <v>616.9742359066425</v>
      </c>
      <c r="E434" s="7">
        <f t="shared" si="115"/>
        <v>-1.9694793536804356</v>
      </c>
      <c r="F434" s="5"/>
      <c r="G434">
        <f t="shared" si="108"/>
        <v>617.8217047413331</v>
      </c>
      <c r="H434" s="8">
        <f t="shared" si="109"/>
        <v>-0.8474688346905168</v>
      </c>
      <c r="I434" s="30">
        <f>IF(H434&lt;1,(Data!$G$16+14+0.8*Data!$G$17+Data!$G$18*(1-H434))*(1-H434),(Data!$G$16+6+Data!$G$17*(H434-0.6))*(H434-0.6))</f>
        <v>57.07743449388753</v>
      </c>
      <c r="J434" s="28">
        <f t="shared" si="116"/>
        <v>468.5912759921928</v>
      </c>
      <c r="K434" t="str">
        <f t="shared" si="110"/>
        <v>Cut</v>
      </c>
      <c r="L434" s="28">
        <f t="shared" si="111"/>
        <v>468.5912759921928</v>
      </c>
      <c r="M434" s="28">
        <f t="shared" si="112"/>
        <v>0</v>
      </c>
      <c r="N434" s="28">
        <f>SUM($L$3:L434)</f>
        <v>99629.14116033366</v>
      </c>
      <c r="O434" s="28">
        <f>SUM($M$3:M434)</f>
        <v>79470.022047077</v>
      </c>
      <c r="Q434">
        <f>MATCH(C434,Ground!$A$3:$A$1999,1)</f>
        <v>127</v>
      </c>
      <c r="R434">
        <f ca="1">OFFSET(Ground!$A$2,Volume!Q434,0)</f>
        <v>7780</v>
      </c>
      <c r="S434">
        <f ca="1">OFFSET(Ground!$A$2,Volume!Q434,1)</f>
        <v>617.963174</v>
      </c>
      <c r="T434">
        <f ca="1">OFFSET(Ground!$A$2,Volume!Q434+1,0)</f>
        <v>7810</v>
      </c>
      <c r="U434">
        <f ca="1">OFFSET(Ground!$A$2,Volume!Q434+1,1)</f>
        <v>617.253462</v>
      </c>
      <c r="V434" s="26"/>
      <c r="W434">
        <f t="shared" si="106"/>
        <v>-95.35868837267782</v>
      </c>
      <c r="X434">
        <f>IF(Volume!W434&lt;'Temp Calcs'!$E$8,1,0)</f>
        <v>1</v>
      </c>
      <c r="Z434">
        <f t="shared" si="107"/>
        <v>94.66641672801873</v>
      </c>
      <c r="AA434">
        <f>IF(Volume!Z434&gt;'Temp Calcs'!$L$8,1,0)</f>
        <v>1</v>
      </c>
      <c r="AB434" s="6"/>
      <c r="AC434" s="5"/>
    </row>
    <row r="435" spans="1:29" ht="12.75">
      <c r="A435" s="1">
        <v>434</v>
      </c>
      <c r="B435" s="1"/>
      <c r="C435" s="31">
        <f t="shared" si="113"/>
        <v>7794.120000000011</v>
      </c>
      <c r="D435" s="8">
        <f t="shared" si="114"/>
        <v>616.8139202872529</v>
      </c>
      <c r="E435" s="7">
        <f t="shared" si="115"/>
        <v>-1.9694793536804356</v>
      </c>
      <c r="F435" s="5"/>
      <c r="G435">
        <f t="shared" si="108"/>
        <v>617.6291362186664</v>
      </c>
      <c r="H435" s="8">
        <f t="shared" si="109"/>
        <v>-0.8152159314134906</v>
      </c>
      <c r="I435" s="30">
        <f>IF(H435&lt;1,(Data!$G$16+14+0.8*Data!$G$17+Data!$G$18*(1-H435))*(1-H435),(Data!$G$16+6+Data!$G$17*(H435-0.6))*(H435-0.6))</f>
        <v>55.96389108976163</v>
      </c>
      <c r="J435" s="28">
        <f t="shared" si="116"/>
        <v>460.0781951254706</v>
      </c>
      <c r="K435" t="str">
        <f t="shared" si="110"/>
        <v>Cut</v>
      </c>
      <c r="L435" s="28">
        <f t="shared" si="111"/>
        <v>460.0781951254706</v>
      </c>
      <c r="M435" s="28">
        <f t="shared" si="112"/>
        <v>0</v>
      </c>
      <c r="N435" s="28">
        <f>SUM($L$3:L435)</f>
        <v>100089.21935545914</v>
      </c>
      <c r="O435" s="28">
        <f>SUM($M$3:M435)</f>
        <v>79470.022047077</v>
      </c>
      <c r="Q435">
        <f>MATCH(C435,Ground!$A$3:$A$1999,1)</f>
        <v>127</v>
      </c>
      <c r="R435">
        <f ca="1">OFFSET(Ground!$A$2,Volume!Q435,0)</f>
        <v>7780</v>
      </c>
      <c r="S435">
        <f ca="1">OFFSET(Ground!$A$2,Volume!Q435,1)</f>
        <v>617.963174</v>
      </c>
      <c r="T435">
        <f ca="1">OFFSET(Ground!$A$2,Volume!Q435+1,0)</f>
        <v>7810</v>
      </c>
      <c r="U435">
        <f ca="1">OFFSET(Ground!$A$2,Volume!Q435+1,1)</f>
        <v>617.253462</v>
      </c>
      <c r="V435" s="26"/>
      <c r="W435">
        <f t="shared" si="106"/>
        <v>-96.72281996283296</v>
      </c>
      <c r="X435">
        <f>IF(Volume!W435&lt;'Temp Calcs'!$E$8,1,0)</f>
        <v>1</v>
      </c>
      <c r="Z435">
        <f t="shared" si="107"/>
        <v>96.02408608033632</v>
      </c>
      <c r="AA435">
        <f>IF(Volume!Z435&gt;'Temp Calcs'!$L$8,1,0)</f>
        <v>1</v>
      </c>
      <c r="AB435" s="6"/>
      <c r="AC435" s="5"/>
    </row>
    <row r="436" spans="1:29" ht="12.75">
      <c r="A436" s="1">
        <v>435</v>
      </c>
      <c r="B436" s="1"/>
      <c r="C436" s="31">
        <f t="shared" si="113"/>
        <v>7802.260000000011</v>
      </c>
      <c r="D436" s="8">
        <f t="shared" si="114"/>
        <v>616.6536046678633</v>
      </c>
      <c r="E436" s="7">
        <f t="shared" si="115"/>
        <v>-1.9694793536804356</v>
      </c>
      <c r="F436" s="5"/>
      <c r="G436">
        <f t="shared" si="108"/>
        <v>617.4365676959998</v>
      </c>
      <c r="H436" s="8">
        <f t="shared" si="109"/>
        <v>-0.7829630281364643</v>
      </c>
      <c r="I436" s="30">
        <f>IF(H436&lt;1,(Data!$G$16+14+0.8*Data!$G$17+Data!$G$18*(1-H436))*(1-H436),(Data!$G$16+6+Data!$G$17*(H436-0.6))*(H436-0.6))</f>
        <v>54.85450868471493</v>
      </c>
      <c r="J436" s="28">
        <f t="shared" si="116"/>
        <v>451.0308870821377</v>
      </c>
      <c r="K436" t="str">
        <f t="shared" si="110"/>
        <v>Cut</v>
      </c>
      <c r="L436" s="28">
        <f t="shared" si="111"/>
        <v>451.0308870821377</v>
      </c>
      <c r="M436" s="28">
        <f t="shared" si="112"/>
        <v>0</v>
      </c>
      <c r="N436" s="28">
        <f>SUM($L$3:L436)</f>
        <v>100540.25024254127</v>
      </c>
      <c r="O436" s="28">
        <f>SUM($M$3:M436)</f>
        <v>79470.022047077</v>
      </c>
      <c r="Q436">
        <f>MATCH(C436,Ground!$A$3:$A$1999,1)</f>
        <v>127</v>
      </c>
      <c r="R436">
        <f ca="1">OFFSET(Ground!$A$2,Volume!Q436,0)</f>
        <v>7780</v>
      </c>
      <c r="S436">
        <f ca="1">OFFSET(Ground!$A$2,Volume!Q436,1)</f>
        <v>617.963174</v>
      </c>
      <c r="T436">
        <f ca="1">OFFSET(Ground!$A$2,Volume!Q436+1,0)</f>
        <v>7810</v>
      </c>
      <c r="U436">
        <f ca="1">OFFSET(Ground!$A$2,Volume!Q436+1,1)</f>
        <v>617.253462</v>
      </c>
      <c r="V436" s="26"/>
      <c r="W436">
        <f t="shared" si="106"/>
        <v>-98.11265940327308</v>
      </c>
      <c r="X436">
        <f>IF(Volume!W436&lt;'Temp Calcs'!$E$8,1,0)</f>
        <v>1</v>
      </c>
      <c r="Z436">
        <f t="shared" si="107"/>
        <v>97.4073414983222</v>
      </c>
      <c r="AA436">
        <f>IF(Volume!Z436&gt;'Temp Calcs'!$L$8,1,0)</f>
        <v>1</v>
      </c>
      <c r="AB436" s="6"/>
      <c r="AC436" s="5"/>
    </row>
    <row r="437" spans="1:29" ht="12.75">
      <c r="A437" s="1">
        <v>436</v>
      </c>
      <c r="B437" s="1"/>
      <c r="C437" s="31">
        <f t="shared" si="113"/>
        <v>7810.4000000000115</v>
      </c>
      <c r="D437" s="8">
        <f t="shared" si="114"/>
        <v>616.4932890484738</v>
      </c>
      <c r="E437" s="7">
        <f t="shared" si="115"/>
        <v>-1.9694793536804356</v>
      </c>
      <c r="F437" s="5"/>
      <c r="G437">
        <f t="shared" si="108"/>
        <v>617.2424239199997</v>
      </c>
      <c r="H437" s="8">
        <f t="shared" si="109"/>
        <v>-0.7491348715259392</v>
      </c>
      <c r="I437" s="30">
        <f>IF(H437&lt;1,(Data!$G$16+14+0.8*Data!$G$17+Data!$G$18*(1-H437))*(1-H437),(Data!$G$16+6+Data!$G$17*(H437-0.6))*(H437-0.6))</f>
        <v>53.695414103081674</v>
      </c>
      <c r="J437" s="28">
        <f t="shared" si="116"/>
        <v>441.79818574634993</v>
      </c>
      <c r="K437" t="str">
        <f t="shared" si="110"/>
        <v>Cut</v>
      </c>
      <c r="L437" s="28">
        <f t="shared" si="111"/>
        <v>441.79818574634993</v>
      </c>
      <c r="M437" s="28">
        <f t="shared" si="112"/>
        <v>0</v>
      </c>
      <c r="N437" s="28">
        <f>SUM($L$3:L437)</f>
        <v>100982.04842828761</v>
      </c>
      <c r="O437" s="28">
        <f>SUM($M$3:M437)</f>
        <v>79470.022047077</v>
      </c>
      <c r="Q437">
        <f>MATCH(C437,Ground!$A$3:$A$1999,1)</f>
        <v>128</v>
      </c>
      <c r="R437">
        <f ca="1">OFFSET(Ground!$A$2,Volume!Q437,0)</f>
        <v>7810</v>
      </c>
      <c r="S437">
        <f ca="1">OFFSET(Ground!$A$2,Volume!Q437,1)</f>
        <v>617.253462</v>
      </c>
      <c r="T437">
        <f ca="1">OFFSET(Ground!$A$2,Volume!Q437+1,0)</f>
        <v>7840</v>
      </c>
      <c r="U437">
        <f ca="1">OFFSET(Ground!$A$2,Volume!Q437+1,1)</f>
        <v>616.425606</v>
      </c>
      <c r="V437" s="26"/>
      <c r="W437">
        <f t="shared" si="106"/>
        <v>-99.5289403258595</v>
      </c>
      <c r="X437">
        <f>IF(Volume!W437&lt;'Temp Calcs'!$E$8,1,0)</f>
        <v>1</v>
      </c>
      <c r="Z437">
        <f t="shared" si="107"/>
        <v>98.81691313843717</v>
      </c>
      <c r="AA437">
        <f>IF(Volume!Z437&gt;'Temp Calcs'!$L$8,1,0)</f>
        <v>1</v>
      </c>
      <c r="AB437" s="6"/>
      <c r="AC437" s="5"/>
    </row>
    <row r="438" spans="1:29" ht="12.75">
      <c r="A438" s="1">
        <v>437</v>
      </c>
      <c r="B438" s="1"/>
      <c r="C438" s="31">
        <f t="shared" si="113"/>
        <v>7818.540000000012</v>
      </c>
      <c r="D438" s="8">
        <f t="shared" si="114"/>
        <v>616.3329734290842</v>
      </c>
      <c r="E438" s="7">
        <f t="shared" si="115"/>
        <v>-1.9694793536804356</v>
      </c>
      <c r="F438" s="5"/>
      <c r="G438">
        <f t="shared" si="108"/>
        <v>617.0177989919997</v>
      </c>
      <c r="H438" s="8">
        <f t="shared" si="109"/>
        <v>-0.6848255629155346</v>
      </c>
      <c r="I438" s="30">
        <f>IF(H438&lt;1,(Data!$G$16+14+0.8*Data!$G$17+Data!$G$18*(1-H438))*(1-H438),(Data!$G$16+6+Data!$G$17*(H438-0.6))*(H438-0.6))</f>
        <v>51.50452966620984</v>
      </c>
      <c r="J438" s="28">
        <f t="shared" si="116"/>
        <v>428.16377114103364</v>
      </c>
      <c r="K438" t="str">
        <f t="shared" si="110"/>
        <v>Cut</v>
      </c>
      <c r="L438" s="28">
        <f t="shared" si="111"/>
        <v>428.16377114103364</v>
      </c>
      <c r="M438" s="28">
        <f t="shared" si="112"/>
        <v>0</v>
      </c>
      <c r="N438" s="28">
        <f>SUM($L$3:L438)</f>
        <v>101410.21219942864</v>
      </c>
      <c r="O438" s="28">
        <f>SUM($M$3:M438)</f>
        <v>79470.022047077</v>
      </c>
      <c r="Q438">
        <f>MATCH(C438,Ground!$A$3:$A$1999,1)</f>
        <v>128</v>
      </c>
      <c r="R438">
        <f ca="1">OFFSET(Ground!$A$2,Volume!Q438,0)</f>
        <v>7810</v>
      </c>
      <c r="S438">
        <f ca="1">OFFSET(Ground!$A$2,Volume!Q438,1)</f>
        <v>617.253462</v>
      </c>
      <c r="T438">
        <f ca="1">OFFSET(Ground!$A$2,Volume!Q438+1,0)</f>
        <v>7840</v>
      </c>
      <c r="U438">
        <f ca="1">OFFSET(Ground!$A$2,Volume!Q438+1,1)</f>
        <v>616.425606</v>
      </c>
      <c r="V438" s="26"/>
      <c r="W438">
        <f t="shared" si="106"/>
        <v>-100.97242454500709</v>
      </c>
      <c r="X438">
        <f>IF(Volume!W438&lt;'Temp Calcs'!$E$8,1,0)</f>
        <v>1</v>
      </c>
      <c r="Z438">
        <f t="shared" si="107"/>
        <v>100.25355920618779</v>
      </c>
      <c r="AA438">
        <f>IF(Volume!Z438&gt;'Temp Calcs'!$L$8,1,0)</f>
        <v>1</v>
      </c>
      <c r="AB438" s="6"/>
      <c r="AC438" s="5"/>
    </row>
    <row r="439" spans="1:29" ht="12.75">
      <c r="A439" s="1">
        <v>438</v>
      </c>
      <c r="B439" s="1"/>
      <c r="C439" s="31">
        <f t="shared" si="113"/>
        <v>7826.680000000012</v>
      </c>
      <c r="D439" s="8">
        <f t="shared" si="114"/>
        <v>616.1726578096946</v>
      </c>
      <c r="E439" s="7">
        <f t="shared" si="115"/>
        <v>-1.9694793536804356</v>
      </c>
      <c r="F439" s="5"/>
      <c r="G439">
        <f t="shared" si="108"/>
        <v>616.7931740639997</v>
      </c>
      <c r="H439" s="8">
        <f t="shared" si="109"/>
        <v>-0.6205162543051301</v>
      </c>
      <c r="I439" s="30">
        <f>IF(H439&lt;1,(Data!$G$16+14+0.8*Data!$G$17+Data!$G$18*(1-H439))*(1-H439),(Data!$G$16+6+Data!$G$17*(H439-0.6))*(H439-0.6))</f>
        <v>49.3301879780338</v>
      </c>
      <c r="J439" s="28">
        <f t="shared" si="116"/>
        <v>410.39730081208813</v>
      </c>
      <c r="K439" t="str">
        <f t="shared" si="110"/>
        <v>Cut</v>
      </c>
      <c r="L439" s="28">
        <f t="shared" si="111"/>
        <v>410.39730081208813</v>
      </c>
      <c r="M439" s="28">
        <f t="shared" si="112"/>
        <v>0</v>
      </c>
      <c r="N439" s="28">
        <f>SUM($L$3:L439)</f>
        <v>101820.60950024072</v>
      </c>
      <c r="O439" s="28">
        <f>SUM($M$3:M439)</f>
        <v>79470.022047077</v>
      </c>
      <c r="Q439">
        <f>MATCH(C439,Ground!$A$3:$A$1999,1)</f>
        <v>128</v>
      </c>
      <c r="R439">
        <f ca="1">OFFSET(Ground!$A$2,Volume!Q439,0)</f>
        <v>7810</v>
      </c>
      <c r="S439">
        <f ca="1">OFFSET(Ground!$A$2,Volume!Q439,1)</f>
        <v>617.253462</v>
      </c>
      <c r="T439">
        <f ca="1">OFFSET(Ground!$A$2,Volume!Q439+1,0)</f>
        <v>7840</v>
      </c>
      <c r="U439">
        <f ca="1">OFFSET(Ground!$A$2,Volume!Q439+1,1)</f>
        <v>616.425606</v>
      </c>
      <c r="V439" s="26"/>
      <c r="W439">
        <f t="shared" si="106"/>
        <v>-102.44390342409811</v>
      </c>
      <c r="X439">
        <f>IF(Volume!W439&lt;'Temp Calcs'!$E$8,1,0)</f>
        <v>1</v>
      </c>
      <c r="Z439">
        <f t="shared" si="107"/>
        <v>101.71806731606694</v>
      </c>
      <c r="AA439">
        <f>IF(Volume!Z439&gt;'Temp Calcs'!$L$8,1,0)</f>
        <v>1</v>
      </c>
      <c r="AB439" s="6"/>
      <c r="AC439" s="5"/>
    </row>
    <row r="440" spans="1:29" ht="12.75">
      <c r="A440" s="1">
        <v>439</v>
      </c>
      <c r="B440" s="1"/>
      <c r="C440" s="31">
        <f t="shared" si="113"/>
        <v>7834.820000000012</v>
      </c>
      <c r="D440" s="8">
        <f t="shared" si="114"/>
        <v>616.0123421903049</v>
      </c>
      <c r="E440" s="7">
        <f t="shared" si="115"/>
        <v>-1.9694793536804356</v>
      </c>
      <c r="F440" s="5"/>
      <c r="G440">
        <f t="shared" si="108"/>
        <v>616.5685491359997</v>
      </c>
      <c r="H440" s="8">
        <f t="shared" si="109"/>
        <v>-0.5562069456947256</v>
      </c>
      <c r="I440" s="30">
        <f>IF(H440&lt;1,(Data!$G$16+14+0.8*Data!$G$17+Data!$G$18*(1-H440))*(1-H440),(Data!$G$16+6+Data!$G$17*(H440-0.6))*(H440-0.6))</f>
        <v>47.17238903855355</v>
      </c>
      <c r="J440" s="28">
        <f t="shared" si="116"/>
        <v>392.76548845752626</v>
      </c>
      <c r="K440" t="str">
        <f t="shared" si="110"/>
        <v>Cut</v>
      </c>
      <c r="L440" s="28">
        <f t="shared" si="111"/>
        <v>392.76548845752626</v>
      </c>
      <c r="M440" s="28">
        <f t="shared" si="112"/>
        <v>0</v>
      </c>
      <c r="N440" s="28">
        <f>SUM($L$3:L440)</f>
        <v>102213.37498869826</v>
      </c>
      <c r="O440" s="28">
        <f>SUM($M$3:M440)</f>
        <v>79470.022047077</v>
      </c>
      <c r="Q440">
        <f>MATCH(C440,Ground!$A$3:$A$1999,1)</f>
        <v>128</v>
      </c>
      <c r="R440">
        <f ca="1">OFFSET(Ground!$A$2,Volume!Q440,0)</f>
        <v>7810</v>
      </c>
      <c r="S440">
        <f ca="1">OFFSET(Ground!$A$2,Volume!Q440,1)</f>
        <v>617.253462</v>
      </c>
      <c r="T440">
        <f ca="1">OFFSET(Ground!$A$2,Volume!Q440+1,0)</f>
        <v>7840</v>
      </c>
      <c r="U440">
        <f ca="1">OFFSET(Ground!$A$2,Volume!Q440+1,1)</f>
        <v>616.425606</v>
      </c>
      <c r="V440" s="26"/>
      <c r="W440">
        <f t="shared" si="106"/>
        <v>-103.94419932218108</v>
      </c>
      <c r="X440">
        <f>IF(Volume!W440&lt;'Temp Calcs'!$E$8,1,0)</f>
        <v>1</v>
      </c>
      <c r="Z440">
        <f t="shared" si="107"/>
        <v>103.21125593139939</v>
      </c>
      <c r="AA440">
        <f>IF(Volume!Z440&gt;'Temp Calcs'!$L$8,1,0)</f>
        <v>1</v>
      </c>
      <c r="AB440" s="6"/>
      <c r="AC440" s="5"/>
    </row>
    <row r="441" spans="1:29" ht="12.75">
      <c r="A441" s="1">
        <v>440</v>
      </c>
      <c r="B441" s="1"/>
      <c r="C441" s="31">
        <f t="shared" si="113"/>
        <v>7842.960000000013</v>
      </c>
      <c r="D441" s="8">
        <f t="shared" si="114"/>
        <v>615.8520265709153</v>
      </c>
      <c r="E441" s="7">
        <f t="shared" si="115"/>
        <v>-1.9694793536804356</v>
      </c>
      <c r="F441" s="5"/>
      <c r="G441">
        <f t="shared" si="108"/>
        <v>616.3422800266663</v>
      </c>
      <c r="H441" s="8">
        <f t="shared" si="109"/>
        <v>-0.49025345575103074</v>
      </c>
      <c r="I441" s="30">
        <f>IF(H441&lt;1,(Data!$G$16+14+0.8*Data!$G$17+Data!$G$18*(1-H441))*(1-H441),(Data!$G$16+6+Data!$G$17*(H441-0.6))*(H441-0.6))</f>
        <v>44.97660472118381</v>
      </c>
      <c r="J441" s="28">
        <f t="shared" si="116"/>
        <v>375.0464046021461</v>
      </c>
      <c r="K441" t="str">
        <f t="shared" si="110"/>
        <v>Cut</v>
      </c>
      <c r="L441" s="28">
        <f t="shared" si="111"/>
        <v>375.0464046021461</v>
      </c>
      <c r="M441" s="28">
        <f t="shared" si="112"/>
        <v>0</v>
      </c>
      <c r="N441" s="28">
        <f>SUM($L$3:L441)</f>
        <v>102588.4213933004</v>
      </c>
      <c r="O441" s="28">
        <f>SUM($M$3:M441)</f>
        <v>79470.022047077</v>
      </c>
      <c r="Q441">
        <f>MATCH(C441,Ground!$A$3:$A$1999,1)</f>
        <v>129</v>
      </c>
      <c r="R441">
        <f ca="1">OFFSET(Ground!$A$2,Volume!Q441,0)</f>
        <v>7840</v>
      </c>
      <c r="S441">
        <f ca="1">OFFSET(Ground!$A$2,Volume!Q441,1)</f>
        <v>616.425606</v>
      </c>
      <c r="T441">
        <f ca="1">OFFSET(Ground!$A$2,Volume!Q441+1,0)</f>
        <v>7870</v>
      </c>
      <c r="U441">
        <f ca="1">OFFSET(Ground!$A$2,Volume!Q441+1,1)</f>
        <v>615.581086</v>
      </c>
      <c r="V441" s="26"/>
      <c r="W441">
        <f t="shared" si="106"/>
        <v>-105.47416712650188</v>
      </c>
      <c r="X441">
        <f>IF(Volume!W441&lt;'Temp Calcs'!$E$8,1,0)</f>
        <v>1</v>
      </c>
      <c r="Z441">
        <f t="shared" si="107"/>
        <v>104.73397588961308</v>
      </c>
      <c r="AA441">
        <f>IF(Volume!Z441&gt;'Temp Calcs'!$L$8,1,0)</f>
        <v>1</v>
      </c>
      <c r="AB441" s="6"/>
      <c r="AC441" s="5"/>
    </row>
    <row r="442" spans="1:29" ht="12.75">
      <c r="A442" s="1">
        <v>441</v>
      </c>
      <c r="B442" s="1"/>
      <c r="C442" s="31">
        <f t="shared" si="113"/>
        <v>7851.100000000013</v>
      </c>
      <c r="D442" s="8">
        <f t="shared" si="114"/>
        <v>615.6917109515258</v>
      </c>
      <c r="E442" s="7">
        <f t="shared" si="115"/>
        <v>-1.9694793536804356</v>
      </c>
      <c r="F442" s="5"/>
      <c r="G442">
        <f t="shared" si="108"/>
        <v>616.1131335999996</v>
      </c>
      <c r="H442" s="8">
        <f t="shared" si="109"/>
        <v>-0.42142264847382194</v>
      </c>
      <c r="I442" s="30">
        <f>IF(H442&lt;1,(Data!$G$16+14+0.8*Data!$G$17+Data!$G$18*(1-H442))*(1-H442),(Data!$G$16+6+Data!$G$17*(H442-0.6))*(H442-0.6))</f>
        <v>42.703580729676624</v>
      </c>
      <c r="J442" s="28">
        <f t="shared" si="116"/>
        <v>356.85835478501633</v>
      </c>
      <c r="K442" t="str">
        <f t="shared" si="110"/>
        <v>Cut</v>
      </c>
      <c r="L442" s="28">
        <f t="shared" si="111"/>
        <v>356.85835478501633</v>
      </c>
      <c r="M442" s="28">
        <f t="shared" si="112"/>
        <v>0</v>
      </c>
      <c r="N442" s="28">
        <f>SUM($L$3:L442)</f>
        <v>102945.27974808542</v>
      </c>
      <c r="O442" s="28">
        <f>SUM($M$3:M442)</f>
        <v>79470.022047077</v>
      </c>
      <c r="Q442">
        <f>MATCH(C442,Ground!$A$3:$A$1999,1)</f>
        <v>129</v>
      </c>
      <c r="R442">
        <f ca="1">OFFSET(Ground!$A$2,Volume!Q442,0)</f>
        <v>7840</v>
      </c>
      <c r="S442">
        <f ca="1">OFFSET(Ground!$A$2,Volume!Q442,1)</f>
        <v>616.425606</v>
      </c>
      <c r="T442">
        <f ca="1">OFFSET(Ground!$A$2,Volume!Q442+1,0)</f>
        <v>7870</v>
      </c>
      <c r="U442">
        <f ca="1">OFFSET(Ground!$A$2,Volume!Q442+1,1)</f>
        <v>615.581086</v>
      </c>
      <c r="V442" s="26"/>
      <c r="W442">
        <f t="shared" si="106"/>
        <v>-107.03469587687144</v>
      </c>
      <c r="X442">
        <f>IF(Volume!W442&lt;'Temp Calcs'!$E$8,1,0)</f>
        <v>1</v>
      </c>
      <c r="Z442">
        <f t="shared" si="107"/>
        <v>106.28711201891147</v>
      </c>
      <c r="AA442">
        <f>IF(Volume!Z442&gt;'Temp Calcs'!$L$8,1,0)</f>
        <v>1</v>
      </c>
      <c r="AB442" s="6"/>
      <c r="AC442" s="5"/>
    </row>
    <row r="443" spans="1:29" ht="12.75">
      <c r="A443" s="1">
        <v>442</v>
      </c>
      <c r="B443" s="1"/>
      <c r="C443" s="31">
        <f t="shared" si="113"/>
        <v>7859.240000000013</v>
      </c>
      <c r="D443" s="8">
        <f t="shared" si="114"/>
        <v>615.5313953321362</v>
      </c>
      <c r="E443" s="7">
        <f t="shared" si="115"/>
        <v>-1.9694793536804356</v>
      </c>
      <c r="F443" s="5"/>
      <c r="G443">
        <f t="shared" si="108"/>
        <v>615.883987173333</v>
      </c>
      <c r="H443" s="8">
        <f t="shared" si="109"/>
        <v>-0.3525918411968405</v>
      </c>
      <c r="I443" s="30">
        <f>IF(H443&lt;1,(Data!$G$16+14+0.8*Data!$G$17+Data!$G$18*(1-H443))*(1-H443),(Data!$G$16+6+Data!$G$17*(H443-0.6))*(H443-0.6))</f>
        <v>40.44950745829858</v>
      </c>
      <c r="J443" s="28">
        <f t="shared" si="116"/>
        <v>338.4330689250727</v>
      </c>
      <c r="K443" t="str">
        <f t="shared" si="110"/>
        <v>Cut</v>
      </c>
      <c r="L443" s="28">
        <f t="shared" si="111"/>
        <v>338.4330689250727</v>
      </c>
      <c r="M443" s="28">
        <f t="shared" si="112"/>
        <v>0</v>
      </c>
      <c r="N443" s="28">
        <f>SUM($L$3:L443)</f>
        <v>103283.7128170105</v>
      </c>
      <c r="O443" s="28">
        <f>SUM($M$3:M443)</f>
        <v>79470.022047077</v>
      </c>
      <c r="Q443">
        <f>MATCH(C443,Ground!$A$3:$A$1999,1)</f>
        <v>129</v>
      </c>
      <c r="R443">
        <f ca="1">OFFSET(Ground!$A$2,Volume!Q443,0)</f>
        <v>7840</v>
      </c>
      <c r="S443">
        <f ca="1">OFFSET(Ground!$A$2,Volume!Q443,1)</f>
        <v>616.425606</v>
      </c>
      <c r="T443">
        <f ca="1">OFFSET(Ground!$A$2,Volume!Q443+1,0)</f>
        <v>7870</v>
      </c>
      <c r="U443">
        <f ca="1">OFFSET(Ground!$A$2,Volume!Q443+1,1)</f>
        <v>615.581086</v>
      </c>
      <c r="V443" s="26"/>
      <c r="W443">
        <f t="shared" si="106"/>
        <v>-108.62671048835867</v>
      </c>
      <c r="X443">
        <f>IF(Volume!W443&lt;'Temp Calcs'!$E$8,1,0)</f>
        <v>1</v>
      </c>
      <c r="Z443">
        <f t="shared" si="107"/>
        <v>107.87158485280588</v>
      </c>
      <c r="AA443">
        <f>IF(Volume!Z443&gt;'Temp Calcs'!$L$8,1,0)</f>
        <v>1</v>
      </c>
      <c r="AB443" s="6"/>
      <c r="AC443" s="5"/>
    </row>
    <row r="444" spans="1:29" ht="12.75">
      <c r="A444" s="1">
        <v>443</v>
      </c>
      <c r="B444" s="1"/>
      <c r="C444" s="31">
        <f t="shared" si="113"/>
        <v>7867.380000000014</v>
      </c>
      <c r="D444" s="8">
        <f t="shared" si="114"/>
        <v>615.3710797127466</v>
      </c>
      <c r="E444" s="7">
        <f t="shared" si="115"/>
        <v>-1.9694793536804356</v>
      </c>
      <c r="F444" s="5"/>
      <c r="G444">
        <f t="shared" si="108"/>
        <v>615.6548407466663</v>
      </c>
      <c r="H444" s="8">
        <f t="shared" si="109"/>
        <v>-0.2837610339197454</v>
      </c>
      <c r="I444" s="30">
        <f>IF(H444&lt;1,(Data!$G$16+14+0.8*Data!$G$17+Data!$G$18*(1-H444))*(1-H444),(Data!$G$16+6+Data!$G$17*(H444-0.6))*(H444-0.6))</f>
        <v>38.21438490703846</v>
      </c>
      <c r="J444" s="28">
        <f t="shared" si="116"/>
        <v>320.1620419269346</v>
      </c>
      <c r="K444" t="str">
        <f t="shared" si="110"/>
        <v>Cut</v>
      </c>
      <c r="L444" s="28">
        <f t="shared" si="111"/>
        <v>320.1620419269346</v>
      </c>
      <c r="M444" s="28">
        <f t="shared" si="112"/>
        <v>0</v>
      </c>
      <c r="N444" s="28">
        <f>SUM($L$3:L444)</f>
        <v>103603.87485893743</v>
      </c>
      <c r="O444" s="28">
        <f>SUM($M$3:M444)</f>
        <v>79470.022047077</v>
      </c>
      <c r="Q444">
        <f>MATCH(C444,Ground!$A$3:$A$1999,1)</f>
        <v>129</v>
      </c>
      <c r="R444">
        <f ca="1">OFFSET(Ground!$A$2,Volume!Q444,0)</f>
        <v>7840</v>
      </c>
      <c r="S444">
        <f ca="1">OFFSET(Ground!$A$2,Volume!Q444,1)</f>
        <v>616.425606</v>
      </c>
      <c r="T444">
        <f ca="1">OFFSET(Ground!$A$2,Volume!Q444+1,0)</f>
        <v>7870</v>
      </c>
      <c r="U444">
        <f ca="1">OFFSET(Ground!$A$2,Volume!Q444+1,1)</f>
        <v>615.581086</v>
      </c>
      <c r="V444" s="26"/>
      <c r="W444">
        <f t="shared" si="106"/>
        <v>-110.25117357931181</v>
      </c>
      <c r="X444">
        <f>IF(Volume!W444&lt;'Temp Calcs'!$E$8,1,0)</f>
        <v>1</v>
      </c>
      <c r="Z444">
        <f t="shared" si="107"/>
        <v>109.48835244947692</v>
      </c>
      <c r="AA444">
        <f>IF(Volume!Z444&gt;'Temp Calcs'!$L$8,1,0)</f>
        <v>1</v>
      </c>
      <c r="AB444" s="6"/>
      <c r="AC444" s="5"/>
    </row>
    <row r="445" spans="1:29" ht="12.75">
      <c r="A445" s="1">
        <v>444</v>
      </c>
      <c r="B445" s="1"/>
      <c r="C445" s="31">
        <f t="shared" si="113"/>
        <v>7875.520000000014</v>
      </c>
      <c r="D445" s="8">
        <f t="shared" si="114"/>
        <v>615.2107640933569</v>
      </c>
      <c r="E445" s="7">
        <f t="shared" si="115"/>
        <v>-1.9694793536804356</v>
      </c>
      <c r="F445" s="5"/>
      <c r="G445">
        <f t="shared" si="108"/>
        <v>615.4535162239997</v>
      </c>
      <c r="H445" s="8">
        <f t="shared" si="109"/>
        <v>-0.24275213064277068</v>
      </c>
      <c r="I445" s="30">
        <f>IF(H445&lt;1,(Data!$G$16+14+0.8*Data!$G$17+Data!$G$18*(1-H445))*(1-H445),(Data!$G$16+6+Data!$G$17*(H445-0.6))*(H445-0.6))</f>
        <v>36.89172366991765</v>
      </c>
      <c r="J445" s="28">
        <f t="shared" si="116"/>
        <v>305.68186190822365</v>
      </c>
      <c r="K445" t="str">
        <f t="shared" si="110"/>
        <v>Cut</v>
      </c>
      <c r="L445" s="28">
        <f t="shared" si="111"/>
        <v>305.68186190822365</v>
      </c>
      <c r="M445" s="28">
        <f t="shared" si="112"/>
        <v>0</v>
      </c>
      <c r="N445" s="28">
        <f>SUM($L$3:L445)</f>
        <v>103909.55672084565</v>
      </c>
      <c r="O445" s="28">
        <f>SUM($M$3:M445)</f>
        <v>79470.022047077</v>
      </c>
      <c r="Q445">
        <f>MATCH(C445,Ground!$A$3:$A$1999,1)</f>
        <v>130</v>
      </c>
      <c r="R445">
        <f ca="1">OFFSET(Ground!$A$2,Volume!Q445,0)</f>
        <v>7870</v>
      </c>
      <c r="S445">
        <f ca="1">OFFSET(Ground!$A$2,Volume!Q445,1)</f>
        <v>615.581086</v>
      </c>
      <c r="T445">
        <f ca="1">OFFSET(Ground!$A$2,Volume!Q445+1,0)</f>
        <v>7900</v>
      </c>
      <c r="U445">
        <f ca="1">OFFSET(Ground!$A$2,Volume!Q445+1,1)</f>
        <v>614.887772</v>
      </c>
      <c r="V445" s="26"/>
      <c r="W445">
        <f t="shared" si="106"/>
        <v>-111.90908741231465</v>
      </c>
      <c r="X445">
        <f>IF(Volume!W445&lt;'Temp Calcs'!$E$8,1,0)</f>
        <v>1</v>
      </c>
      <c r="Z445">
        <f t="shared" si="107"/>
        <v>111.13841232353595</v>
      </c>
      <c r="AA445">
        <f>IF(Volume!Z445&gt;'Temp Calcs'!$L$8,1,0)</f>
        <v>1</v>
      </c>
      <c r="AB445" s="6"/>
      <c r="AC445" s="5"/>
    </row>
    <row r="446" spans="1:29" ht="12.75">
      <c r="A446" s="1">
        <v>445</v>
      </c>
      <c r="B446" s="1"/>
      <c r="C446" s="31">
        <f t="shared" si="113"/>
        <v>7883.660000000014</v>
      </c>
      <c r="D446" s="8">
        <f t="shared" si="114"/>
        <v>615.0504484739674</v>
      </c>
      <c r="E446" s="7">
        <f t="shared" si="115"/>
        <v>-1.9694793536804356</v>
      </c>
      <c r="F446" s="5"/>
      <c r="G446">
        <f t="shared" si="108"/>
        <v>615.2653970253331</v>
      </c>
      <c r="H446" s="8">
        <f t="shared" si="109"/>
        <v>-0.21494855136563729</v>
      </c>
      <c r="I446" s="30">
        <f>IF(H446&lt;1,(Data!$G$16+14+0.8*Data!$G$17+Data!$G$18*(1-H446))*(1-H446),(Data!$G$16+6+Data!$G$17*(H446-0.6))*(H446-0.6))</f>
        <v>35.998800562076255</v>
      </c>
      <c r="J446" s="28">
        <f t="shared" si="116"/>
        <v>296.6644336242271</v>
      </c>
      <c r="K446" t="str">
        <f t="shared" si="110"/>
        <v>Cut</v>
      </c>
      <c r="L446" s="28">
        <f t="shared" si="111"/>
        <v>296.6644336242271</v>
      </c>
      <c r="M446" s="28">
        <f t="shared" si="112"/>
        <v>0</v>
      </c>
      <c r="N446" s="28">
        <f>SUM($L$3:L446)</f>
        <v>104206.22115446988</v>
      </c>
      <c r="O446" s="28">
        <f>SUM($M$3:M446)</f>
        <v>79470.022047077</v>
      </c>
      <c r="Q446">
        <f>MATCH(C446,Ground!$A$3:$A$1999,1)</f>
        <v>130</v>
      </c>
      <c r="R446">
        <f ca="1">OFFSET(Ground!$A$2,Volume!Q446,0)</f>
        <v>7870</v>
      </c>
      <c r="S446">
        <f ca="1">OFFSET(Ground!$A$2,Volume!Q446,1)</f>
        <v>615.581086</v>
      </c>
      <c r="T446">
        <f ca="1">OFFSET(Ground!$A$2,Volume!Q446+1,0)</f>
        <v>7900</v>
      </c>
      <c r="U446">
        <f ca="1">OFFSET(Ground!$A$2,Volume!Q446+1,1)</f>
        <v>614.887772</v>
      </c>
      <c r="V446" s="26"/>
      <c r="W446">
        <f t="shared" si="106"/>
        <v>-113.60149595628907</v>
      </c>
      <c r="X446">
        <f>IF(Volume!W446&lt;'Temp Calcs'!$E$8,1,0)</f>
        <v>1</v>
      </c>
      <c r="Z446">
        <f t="shared" si="107"/>
        <v>112.8228034983589</v>
      </c>
      <c r="AA446">
        <f>IF(Volume!Z446&gt;'Temp Calcs'!$L$8,1,0)</f>
        <v>1</v>
      </c>
      <c r="AB446" s="6"/>
      <c r="AC446" s="5"/>
    </row>
    <row r="447" spans="1:29" ht="12.75">
      <c r="A447" s="1">
        <v>446</v>
      </c>
      <c r="B447" s="1"/>
      <c r="C447" s="31">
        <f t="shared" si="113"/>
        <v>7891.800000000015</v>
      </c>
      <c r="D447" s="8">
        <f t="shared" si="114"/>
        <v>614.8901328545778</v>
      </c>
      <c r="E447" s="7">
        <f t="shared" si="115"/>
        <v>-1.9694793536804356</v>
      </c>
      <c r="F447" s="5"/>
      <c r="G447">
        <f t="shared" si="108"/>
        <v>615.0772778266663</v>
      </c>
      <c r="H447" s="8">
        <f t="shared" si="109"/>
        <v>-0.1871449720885039</v>
      </c>
      <c r="I447" s="30">
        <f>IF(H447&lt;1,(Data!$G$16+14+0.8*Data!$G$17+Data!$G$18*(1-H447))*(1-H447),(Data!$G$16+6+Data!$G$17*(H447-0.6))*(H447-0.6))</f>
        <v>35.10896961031733</v>
      </c>
      <c r="J447" s="28">
        <f t="shared" si="116"/>
        <v>289.4086246016535</v>
      </c>
      <c r="K447" t="str">
        <f t="shared" si="110"/>
        <v>Cut</v>
      </c>
      <c r="L447" s="28">
        <f t="shared" si="111"/>
        <v>289.4086246016535</v>
      </c>
      <c r="M447" s="28">
        <f t="shared" si="112"/>
        <v>0</v>
      </c>
      <c r="N447" s="28">
        <f>SUM($L$3:L447)</f>
        <v>104495.62977907153</v>
      </c>
      <c r="O447" s="28">
        <f>SUM($M$3:M447)</f>
        <v>79470.022047077</v>
      </c>
      <c r="Q447">
        <f>MATCH(C447,Ground!$A$3:$A$1999,1)</f>
        <v>130</v>
      </c>
      <c r="R447">
        <f ca="1">OFFSET(Ground!$A$2,Volume!Q447,0)</f>
        <v>7870</v>
      </c>
      <c r="S447">
        <f ca="1">OFFSET(Ground!$A$2,Volume!Q447,1)</f>
        <v>615.581086</v>
      </c>
      <c r="T447">
        <f ca="1">OFFSET(Ground!$A$2,Volume!Q447+1,0)</f>
        <v>7900</v>
      </c>
      <c r="U447">
        <f ca="1">OFFSET(Ground!$A$2,Volume!Q447+1,1)</f>
        <v>614.887772</v>
      </c>
      <c r="V447" s="26"/>
      <c r="W447">
        <f t="shared" si="106"/>
        <v>-115.32948707866869</v>
      </c>
      <c r="X447">
        <f>IF(Volume!W447&lt;'Temp Calcs'!$E$8,1,0)</f>
        <v>1</v>
      </c>
      <c r="Z447">
        <f t="shared" si="107"/>
        <v>114.54260868787502</v>
      </c>
      <c r="AA447">
        <f>IF(Volume!Z447&gt;'Temp Calcs'!$L$8,1,0)</f>
        <v>1</v>
      </c>
      <c r="AB447" s="6"/>
      <c r="AC447" s="5"/>
    </row>
    <row r="448" spans="1:29" ht="12.75">
      <c r="A448" s="1">
        <v>447</v>
      </c>
      <c r="B448" s="1"/>
      <c r="C448" s="31">
        <f t="shared" si="113"/>
        <v>7899.940000000015</v>
      </c>
      <c r="D448" s="8">
        <f t="shared" si="114"/>
        <v>614.7298172351882</v>
      </c>
      <c r="E448" s="7">
        <f t="shared" si="115"/>
        <v>-1.9694793536804356</v>
      </c>
      <c r="F448" s="5"/>
      <c r="G448">
        <f t="shared" si="108"/>
        <v>614.8891586279997</v>
      </c>
      <c r="H448" s="8">
        <f t="shared" si="109"/>
        <v>-0.15934139281148418</v>
      </c>
      <c r="I448" s="30">
        <f>IF(H448&lt;1,(Data!$G$16+14+0.8*Data!$G$17+Data!$G$18*(1-H448))*(1-H448),(Data!$G$16+6+Data!$G$17*(H448-0.6))*(H448-0.6))</f>
        <v>34.22223081464451</v>
      </c>
      <c r="J448" s="28">
        <f t="shared" si="116"/>
        <v>282.17798572960606</v>
      </c>
      <c r="K448" t="str">
        <f t="shared" si="110"/>
        <v>Cut</v>
      </c>
      <c r="L448" s="28">
        <f t="shared" si="111"/>
        <v>282.17798572960606</v>
      </c>
      <c r="M448" s="28">
        <f t="shared" si="112"/>
        <v>0</v>
      </c>
      <c r="N448" s="28">
        <f>SUM($L$3:L448)</f>
        <v>104777.80776480114</v>
      </c>
      <c r="O448" s="28">
        <f>SUM($M$3:M448)</f>
        <v>79470.022047077</v>
      </c>
      <c r="Q448">
        <f>MATCH(C448,Ground!$A$3:$A$1999,1)</f>
        <v>130</v>
      </c>
      <c r="R448">
        <f ca="1">OFFSET(Ground!$A$2,Volume!Q448,0)</f>
        <v>7870</v>
      </c>
      <c r="S448">
        <f ca="1">OFFSET(Ground!$A$2,Volume!Q448,1)</f>
        <v>615.581086</v>
      </c>
      <c r="T448">
        <f ca="1">OFFSET(Ground!$A$2,Volume!Q448+1,0)</f>
        <v>7900</v>
      </c>
      <c r="U448">
        <f ca="1">OFFSET(Ground!$A$2,Volume!Q448+1,1)</f>
        <v>614.887772</v>
      </c>
      <c r="V448" s="26"/>
      <c r="W448">
        <f t="shared" si="106"/>
        <v>-117.0941948773031</v>
      </c>
      <c r="X448">
        <f>IF(Volume!W448&lt;'Temp Calcs'!$E$8,1,0)</f>
        <v>1</v>
      </c>
      <c r="Z448">
        <f t="shared" si="107"/>
        <v>116.29895661742431</v>
      </c>
      <c r="AA448">
        <f>IF(Volume!Z448&gt;'Temp Calcs'!$L$8,1,0)</f>
        <v>1</v>
      </c>
      <c r="AB448" s="6"/>
      <c r="AC448" s="5"/>
    </row>
    <row r="449" spans="1:29" ht="12.75">
      <c r="A449" s="1">
        <v>448</v>
      </c>
      <c r="B449" s="1"/>
      <c r="C449" s="31">
        <f t="shared" si="113"/>
        <v>7908.080000000015</v>
      </c>
      <c r="D449" s="8">
        <f t="shared" si="114"/>
        <v>614.5695016157986</v>
      </c>
      <c r="E449" s="7">
        <f t="shared" si="115"/>
        <v>-1.9694793536804356</v>
      </c>
      <c r="F449" s="5"/>
      <c r="G449">
        <f t="shared" si="108"/>
        <v>614.716670997333</v>
      </c>
      <c r="H449" s="8">
        <f t="shared" si="109"/>
        <v>-0.1471693815344679</v>
      </c>
      <c r="I449" s="30">
        <f>IF(H449&lt;1,(Data!$G$16+14+0.8*Data!$G$17+Data!$G$18*(1-H449))*(1-H449),(Data!$G$16+6+Data!$G$17*(H449-0.6))*(H449-0.6))</f>
        <v>33.83500235759787</v>
      </c>
      <c r="J449" s="28">
        <f t="shared" si="116"/>
        <v>276.9929390110376</v>
      </c>
      <c r="K449" t="str">
        <f t="shared" si="110"/>
        <v>Cut</v>
      </c>
      <c r="L449" s="28">
        <f t="shared" si="111"/>
        <v>276.9929390110376</v>
      </c>
      <c r="M449" s="28">
        <f t="shared" si="112"/>
        <v>0</v>
      </c>
      <c r="N449" s="28">
        <f>SUM($L$3:L449)</f>
        <v>105054.80070381217</v>
      </c>
      <c r="O449" s="28">
        <f>SUM($M$3:M449)</f>
        <v>79470.022047077</v>
      </c>
      <c r="Q449">
        <f>MATCH(C449,Ground!$A$3:$A$1999,1)</f>
        <v>131</v>
      </c>
      <c r="R449">
        <f ca="1">OFFSET(Ground!$A$2,Volume!Q449,0)</f>
        <v>7900</v>
      </c>
      <c r="S449">
        <f ca="1">OFFSET(Ground!$A$2,Volume!Q449,1)</f>
        <v>614.887772</v>
      </c>
      <c r="T449">
        <f ca="1">OFFSET(Ground!$A$2,Volume!Q449+1,0)</f>
        <v>7930</v>
      </c>
      <c r="U449">
        <f ca="1">OFFSET(Ground!$A$2,Volume!Q449+1,1)</f>
        <v>614.252496</v>
      </c>
      <c r="V449" s="26"/>
      <c r="W449">
        <f t="shared" si="106"/>
        <v>-118.89680216261297</v>
      </c>
      <c r="X449">
        <f>IF(Volume!W449&lt;'Temp Calcs'!$E$8,1,0)</f>
        <v>1</v>
      </c>
      <c r="Z449">
        <f t="shared" si="107"/>
        <v>118.09302449415408</v>
      </c>
      <c r="AA449">
        <f>IF(Volume!Z449&gt;'Temp Calcs'!$L$8,1,0)</f>
        <v>1</v>
      </c>
      <c r="AB449" s="6"/>
      <c r="AC449" s="5"/>
    </row>
    <row r="450" spans="1:29" ht="12.75">
      <c r="A450" s="1">
        <v>449</v>
      </c>
      <c r="B450" s="1"/>
      <c r="C450" s="31">
        <f t="shared" si="113"/>
        <v>7916.220000000016</v>
      </c>
      <c r="D450" s="8">
        <f t="shared" si="114"/>
        <v>614.4091859964091</v>
      </c>
      <c r="E450" s="7">
        <f t="shared" si="115"/>
        <v>-1.9694793536804356</v>
      </c>
      <c r="F450" s="5"/>
      <c r="G450">
        <f t="shared" si="108"/>
        <v>614.5442994426663</v>
      </c>
      <c r="H450" s="8">
        <f t="shared" si="109"/>
        <v>-0.1351134462572645</v>
      </c>
      <c r="I450" s="30">
        <f>IF(H450&lt;1,(Data!$G$16+14+0.8*Data!$G$17+Data!$G$18*(1-H450))*(1-H450),(Data!$G$16+6+Data!$G$17*(H450-0.6))*(H450-0.6))</f>
        <v>33.45205080994568</v>
      </c>
      <c r="J450" s="28">
        <f t="shared" si="116"/>
        <v>273.85830639191323</v>
      </c>
      <c r="K450" t="str">
        <f t="shared" si="110"/>
        <v>Cut</v>
      </c>
      <c r="L450" s="28">
        <f t="shared" si="111"/>
        <v>273.85830639191323</v>
      </c>
      <c r="M450" s="28">
        <f t="shared" si="112"/>
        <v>0</v>
      </c>
      <c r="N450" s="28">
        <f>SUM($L$3:L450)</f>
        <v>105328.65901020408</v>
      </c>
      <c r="O450" s="28">
        <f>SUM($M$3:M450)</f>
        <v>79470.022047077</v>
      </c>
      <c r="Q450">
        <f>MATCH(C450,Ground!$A$3:$A$1999,1)</f>
        <v>131</v>
      </c>
      <c r="R450">
        <f ca="1">OFFSET(Ground!$A$2,Volume!Q450,0)</f>
        <v>7900</v>
      </c>
      <c r="S450">
        <f ca="1">OFFSET(Ground!$A$2,Volume!Q450,1)</f>
        <v>614.887772</v>
      </c>
      <c r="T450">
        <f ca="1">OFFSET(Ground!$A$2,Volume!Q450+1,0)</f>
        <v>7930</v>
      </c>
      <c r="U450">
        <f ca="1">OFFSET(Ground!$A$2,Volume!Q450+1,1)</f>
        <v>614.252496</v>
      </c>
      <c r="V450" s="26"/>
      <c r="W450">
        <f t="shared" si="106"/>
        <v>-120.73854310139896</v>
      </c>
      <c r="X450">
        <f>IF(Volume!W450&lt;'Temp Calcs'!$E$8,1,0)</f>
        <v>1</v>
      </c>
      <c r="Z450">
        <f t="shared" si="107"/>
        <v>119.92604063830332</v>
      </c>
      <c r="AA450">
        <f>IF(Volume!Z450&gt;'Temp Calcs'!$L$8,1,0)</f>
        <v>1</v>
      </c>
      <c r="AB450" s="6"/>
      <c r="AC450" s="5"/>
    </row>
    <row r="451" spans="1:29" ht="12.75">
      <c r="A451" s="1">
        <v>450</v>
      </c>
      <c r="B451" s="1"/>
      <c r="C451" s="31">
        <f t="shared" si="113"/>
        <v>7924.360000000016</v>
      </c>
      <c r="D451" s="8">
        <f t="shared" si="114"/>
        <v>614.2488703770194</v>
      </c>
      <c r="E451" s="7">
        <f t="shared" si="115"/>
        <v>-1.9694793536804356</v>
      </c>
      <c r="F451" s="5"/>
      <c r="G451">
        <f t="shared" si="108"/>
        <v>614.3719278879996</v>
      </c>
      <c r="H451" s="8">
        <f t="shared" si="109"/>
        <v>-0.12305751098017481</v>
      </c>
      <c r="I451" s="30">
        <f>IF(H451&lt;1,(Data!$G$16+14+0.8*Data!$G$17+Data!$G$18*(1-H451))*(1-H451),(Data!$G$16+6+Data!$G$17*(H451-0.6))*(H451-0.6))</f>
        <v>33.069680644598726</v>
      </c>
      <c r="J451" s="28">
        <f t="shared" si="116"/>
        <v>270.7434470200066</v>
      </c>
      <c r="K451" t="str">
        <f t="shared" si="110"/>
        <v>Cut</v>
      </c>
      <c r="L451" s="28">
        <f t="shared" si="111"/>
        <v>270.7434470200066</v>
      </c>
      <c r="M451" s="28">
        <f t="shared" si="112"/>
        <v>0</v>
      </c>
      <c r="N451" s="28">
        <f>SUM($L$3:L451)</f>
        <v>105599.40245722409</v>
      </c>
      <c r="O451" s="28">
        <f>SUM($M$3:M451)</f>
        <v>79470.022047077</v>
      </c>
      <c r="Q451">
        <f>MATCH(C451,Ground!$A$3:$A$1999,1)</f>
        <v>131</v>
      </c>
      <c r="R451">
        <f ca="1">OFFSET(Ground!$A$2,Volume!Q451,0)</f>
        <v>7900</v>
      </c>
      <c r="S451">
        <f ca="1">OFFSET(Ground!$A$2,Volume!Q451,1)</f>
        <v>614.887772</v>
      </c>
      <c r="T451">
        <f ca="1">OFFSET(Ground!$A$2,Volume!Q451+1,0)</f>
        <v>7930</v>
      </c>
      <c r="U451">
        <f ca="1">OFFSET(Ground!$A$2,Volume!Q451+1,1)</f>
        <v>614.252496</v>
      </c>
      <c r="V451" s="26"/>
      <c r="W451">
        <f aca="true" t="shared" si="117" ref="W451:W502">($W$1-C451)/(D451-$X$1)</f>
        <v>-122.62070603473258</v>
      </c>
      <c r="X451">
        <f>IF(Volume!W451&lt;'Temp Calcs'!$E$8,1,0)</f>
        <v>1</v>
      </c>
      <c r="Z451">
        <f aca="true" t="shared" si="118" ref="Z451:Z502">(C451-$Z$1)/(D451-$AA$1)</f>
        <v>121.79928728774469</v>
      </c>
      <c r="AA451">
        <f>IF(Volume!Z451&gt;'Temp Calcs'!$L$8,1,0)</f>
        <v>1</v>
      </c>
      <c r="AB451" s="6"/>
      <c r="AC451" s="5"/>
    </row>
    <row r="452" spans="1:29" ht="12.75">
      <c r="A452" s="1">
        <v>451</v>
      </c>
      <c r="B452" s="1" t="s">
        <v>22</v>
      </c>
      <c r="C452" s="5">
        <f>Data!C8-Data!F8/2</f>
        <v>7932.5</v>
      </c>
      <c r="D452" s="6">
        <f>Data!D8-Data!E7/100*Data!F8/2</f>
        <v>614.0885547576302</v>
      </c>
      <c r="E452" s="5">
        <f>Data!E7</f>
        <v>-1.9694793536804356</v>
      </c>
      <c r="F452" s="5"/>
      <c r="G452">
        <f aca="true" t="shared" si="119" ref="G452:G471">S452+(U452-S452)*(C452-R452)/(T452-R452)</f>
        <v>614.2090493333333</v>
      </c>
      <c r="H452" s="8">
        <f aca="true" t="shared" si="120" ref="H452:H471">D452-G452</f>
        <v>-0.12049457570310551</v>
      </c>
      <c r="I452" s="30">
        <f>IF(H452&lt;1,(Data!$G$16+14+0.8*Data!$G$17+Data!$G$18*(1-H452))*(1-H452),(Data!$G$16+6+Data!$G$17*(H452-0.6))*(H452-0.6))</f>
        <v>32.98846864748463</v>
      </c>
      <c r="J452" s="28">
        <f t="shared" si="116"/>
        <v>268.85666761824933</v>
      </c>
      <c r="K452" t="str">
        <f aca="true" t="shared" si="121" ref="K452:K471">IF(H452&lt;0.5,"Cut","Fill")</f>
        <v>Cut</v>
      </c>
      <c r="L452" s="28">
        <f aca="true" t="shared" si="122" ref="L452:L471">IF(K452="Cut",J452,0)</f>
        <v>268.85666761824933</v>
      </c>
      <c r="M452" s="28">
        <f aca="true" t="shared" si="123" ref="M452:M471">IF(K452="Fill",J452,0)</f>
        <v>0</v>
      </c>
      <c r="N452" s="28">
        <f>SUM($L$3:L452)</f>
        <v>105868.25912484234</v>
      </c>
      <c r="O452" s="28">
        <f>SUM($M$3:M452)</f>
        <v>79470.022047077</v>
      </c>
      <c r="Q452">
        <f>MATCH(C452,Ground!$A$3:$A$1999,1)</f>
        <v>132</v>
      </c>
      <c r="R452">
        <f ca="1">OFFSET(Ground!$A$2,Volume!Q452,0)</f>
        <v>7930</v>
      </c>
      <c r="S452">
        <f ca="1">OFFSET(Ground!$A$2,Volume!Q452,1)</f>
        <v>614.252496</v>
      </c>
      <c r="T452">
        <f ca="1">OFFSET(Ground!$A$2,Volume!Q452+1,0)</f>
        <v>7960</v>
      </c>
      <c r="U452">
        <f ca="1">OFFSET(Ground!$A$2,Volume!Q452+1,1)</f>
        <v>613.731136</v>
      </c>
      <c r="V452" s="26"/>
      <c r="W452">
        <f t="shared" si="117"/>
        <v>-124.54463648343113</v>
      </c>
      <c r="X452">
        <f>IF(Volume!W452&lt;'Temp Calcs'!$E$8,1,0)</f>
        <v>1</v>
      </c>
      <c r="Z452">
        <f t="shared" si="118"/>
        <v>123.71410358922157</v>
      </c>
      <c r="AA452">
        <f>IF(Volume!Z452&gt;'Temp Calcs'!$L$8,1,0)</f>
        <v>1</v>
      </c>
      <c r="AB452" s="6"/>
      <c r="AC452" s="5"/>
    </row>
    <row r="453" spans="1:29" ht="12.75">
      <c r="A453" s="1">
        <v>452</v>
      </c>
      <c r="C453" s="7">
        <f>C452+($C$502-$C$452)/50</f>
        <v>7934</v>
      </c>
      <c r="D453" s="8">
        <f aca="true" t="shared" si="124" ref="D453:D501">D$452+($E$502-$E$452)/100*(C453-$C$452)^2/2/($C$502-$C$452)+$E$452/100*(C453-$C$452)</f>
        <v>614.0592994449242</v>
      </c>
      <c r="E453" s="7">
        <f aca="true" t="shared" si="125" ref="E453:E471">$E$452+($E$502-$E$452)*(C453-$C$452)/($C$502-$C$452)</f>
        <v>-1.9312290071131564</v>
      </c>
      <c r="F453" s="7"/>
      <c r="G453">
        <f t="shared" si="119"/>
        <v>614.1829813333333</v>
      </c>
      <c r="H453" s="8">
        <f t="shared" si="120"/>
        <v>-0.12368188840900984</v>
      </c>
      <c r="I453" s="30">
        <f>IF(H453&lt;1,(Data!$G$16+14+0.8*Data!$G$17+Data!$G$18*(1-H453))*(1-H453),(Data!$G$16+6+Data!$G$17*(H453-0.6))*(H453-0.6))</f>
        <v>33.089469337401944</v>
      </c>
      <c r="J453" s="28">
        <f t="shared" si="116"/>
        <v>49.55845348866493</v>
      </c>
      <c r="K453" t="str">
        <f t="shared" si="121"/>
        <v>Cut</v>
      </c>
      <c r="L453" s="28">
        <f t="shared" si="122"/>
        <v>49.55845348866493</v>
      </c>
      <c r="M453" s="28">
        <f t="shared" si="123"/>
        <v>0</v>
      </c>
      <c r="N453" s="28">
        <f>SUM($L$3:L453)</f>
        <v>105917.817578331</v>
      </c>
      <c r="O453" s="28">
        <f>SUM($M$3:M453)</f>
        <v>79470.022047077</v>
      </c>
      <c r="Q453">
        <f>MATCH(C453,Ground!$A$3:$A$1999,1)</f>
        <v>132</v>
      </c>
      <c r="R453">
        <f ca="1">OFFSET(Ground!$A$2,Volume!Q453,0)</f>
        <v>7930</v>
      </c>
      <c r="S453">
        <f ca="1">OFFSET(Ground!$A$2,Volume!Q453,1)</f>
        <v>614.252496</v>
      </c>
      <c r="T453">
        <f ca="1">OFFSET(Ground!$A$2,Volume!Q453+1,0)</f>
        <v>7960</v>
      </c>
      <c r="U453">
        <f ca="1">OFFSET(Ground!$A$2,Volume!Q453+1,1)</f>
        <v>613.731136</v>
      </c>
      <c r="V453" s="26"/>
      <c r="W453">
        <f t="shared" si="117"/>
        <v>-124.90135230765085</v>
      </c>
      <c r="X453">
        <f>IF(Volume!W453&lt;'Temp Calcs'!$E$8,1,0)</f>
        <v>1</v>
      </c>
      <c r="Z453">
        <f t="shared" si="118"/>
        <v>124.06913434547904</v>
      </c>
      <c r="AA453">
        <f>IF(Volume!Z453&gt;'Temp Calcs'!$L$8,1,0)</f>
        <v>1</v>
      </c>
      <c r="AB453" s="8"/>
      <c r="AC453" s="7"/>
    </row>
    <row r="454" spans="1:29" ht="12.75">
      <c r="A454" s="1">
        <v>453</v>
      </c>
      <c r="C454" s="7">
        <f aca="true" t="shared" si="126" ref="C454:C501">C453+($C$502-$C$452)/50</f>
        <v>7935.5</v>
      </c>
      <c r="D454" s="8">
        <f t="shared" si="124"/>
        <v>614.0306178874167</v>
      </c>
      <c r="E454" s="7">
        <f t="shared" si="125"/>
        <v>-1.8929786605458772</v>
      </c>
      <c r="F454" s="7"/>
      <c r="G454">
        <f t="shared" si="119"/>
        <v>614.1569133333333</v>
      </c>
      <c r="H454" s="8">
        <f t="shared" si="120"/>
        <v>-0.12629544591652575</v>
      </c>
      <c r="I454" s="30">
        <f>IF(H454&lt;1,(Data!$G$16+14+0.8*Data!$G$17+Data!$G$18*(1-H454))*(1-H454),(Data!$G$16+6+Data!$G$17*(H454-0.6))*(H454-0.6))</f>
        <v>33.17231899191411</v>
      </c>
      <c r="J454" s="28">
        <f t="shared" si="116"/>
        <v>49.696341246987046</v>
      </c>
      <c r="K454" t="str">
        <f t="shared" si="121"/>
        <v>Cut</v>
      </c>
      <c r="L454" s="28">
        <f t="shared" si="122"/>
        <v>49.696341246987046</v>
      </c>
      <c r="M454" s="28">
        <f t="shared" si="123"/>
        <v>0</v>
      </c>
      <c r="N454" s="28">
        <f>SUM($L$3:L454)</f>
        <v>105967.51391957799</v>
      </c>
      <c r="O454" s="28">
        <f>SUM($M$3:M454)</f>
        <v>79470.022047077</v>
      </c>
      <c r="Q454">
        <f>MATCH(C454,Ground!$A$3:$A$1999,1)</f>
        <v>132</v>
      </c>
      <c r="R454">
        <f ca="1">OFFSET(Ground!$A$2,Volume!Q454,0)</f>
        <v>7930</v>
      </c>
      <c r="S454">
        <f ca="1">OFFSET(Ground!$A$2,Volume!Q454,1)</f>
        <v>614.252496</v>
      </c>
      <c r="T454">
        <f ca="1">OFFSET(Ground!$A$2,Volume!Q454+1,0)</f>
        <v>7960</v>
      </c>
      <c r="U454">
        <f ca="1">OFFSET(Ground!$A$2,Volume!Q454+1,1)</f>
        <v>613.731136</v>
      </c>
      <c r="V454" s="26"/>
      <c r="W454">
        <f t="shared" si="117"/>
        <v>-125.25452444791202</v>
      </c>
      <c r="X454">
        <f>IF(Volume!W454&lt;'Temp Calcs'!$E$8,1,0)</f>
        <v>1</v>
      </c>
      <c r="Z454">
        <f t="shared" si="118"/>
        <v>124.42064781426915</v>
      </c>
      <c r="AA454">
        <f>IF(Volume!Z454&gt;'Temp Calcs'!$L$8,1,0)</f>
        <v>1</v>
      </c>
      <c r="AB454" s="8"/>
      <c r="AC454" s="7"/>
    </row>
    <row r="455" spans="1:29" ht="12.75">
      <c r="A455" s="1">
        <v>454</v>
      </c>
      <c r="C455" s="7">
        <f t="shared" si="126"/>
        <v>7937</v>
      </c>
      <c r="D455" s="8">
        <f t="shared" si="124"/>
        <v>614.0025100851078</v>
      </c>
      <c r="E455" s="7">
        <f t="shared" si="125"/>
        <v>-1.854728313978598</v>
      </c>
      <c r="F455" s="7"/>
      <c r="G455">
        <f t="shared" si="119"/>
        <v>614.1308453333332</v>
      </c>
      <c r="H455" s="8">
        <f t="shared" si="120"/>
        <v>-0.12833524822542586</v>
      </c>
      <c r="I455" s="30">
        <f>IF(H455&lt;1,(Data!$G$16+14+0.8*Data!$G$17+Data!$G$18*(1-H455))*(1-H455),(Data!$G$16+6+Data!$G$17*(H455-0.6))*(H455-0.6))</f>
        <v>33.23699961650745</v>
      </c>
      <c r="J455" s="28">
        <f t="shared" si="116"/>
        <v>49.80698895631617</v>
      </c>
      <c r="K455" t="str">
        <f t="shared" si="121"/>
        <v>Cut</v>
      </c>
      <c r="L455" s="28">
        <f t="shared" si="122"/>
        <v>49.80698895631617</v>
      </c>
      <c r="M455" s="28">
        <f t="shared" si="123"/>
        <v>0</v>
      </c>
      <c r="N455" s="28">
        <f>SUM($L$3:L455)</f>
        <v>106017.32090853431</v>
      </c>
      <c r="O455" s="28">
        <f>SUM($M$3:M455)</f>
        <v>79470.022047077</v>
      </c>
      <c r="Q455">
        <f>MATCH(C455,Ground!$A$3:$A$1999,1)</f>
        <v>132</v>
      </c>
      <c r="R455">
        <f ca="1">OFFSET(Ground!$A$2,Volume!Q455,0)</f>
        <v>7930</v>
      </c>
      <c r="S455">
        <f ca="1">OFFSET(Ground!$A$2,Volume!Q455,1)</f>
        <v>614.252496</v>
      </c>
      <c r="T455">
        <f ca="1">OFFSET(Ground!$A$2,Volume!Q455+1,0)</f>
        <v>7960</v>
      </c>
      <c r="U455">
        <f ca="1">OFFSET(Ground!$A$2,Volume!Q455+1,1)</f>
        <v>613.731136</v>
      </c>
      <c r="V455" s="26"/>
      <c r="W455">
        <f t="shared" si="117"/>
        <v>-125.60408934859635</v>
      </c>
      <c r="X455">
        <f>IF(Volume!W455&lt;'Temp Calcs'!$E$8,1,0)</f>
        <v>1</v>
      </c>
      <c r="Z455">
        <f t="shared" si="118"/>
        <v>124.76858079689531</v>
      </c>
      <c r="AA455">
        <f>IF(Volume!Z455&gt;'Temp Calcs'!$L$8,1,0)</f>
        <v>1</v>
      </c>
      <c r="AB455" s="8"/>
      <c r="AC455" s="7"/>
    </row>
    <row r="456" spans="1:29" ht="12.75">
      <c r="A456" s="1">
        <v>455</v>
      </c>
      <c r="C456" s="7">
        <f t="shared" si="126"/>
        <v>7938.5</v>
      </c>
      <c r="D456" s="8">
        <f t="shared" si="124"/>
        <v>613.9749760379974</v>
      </c>
      <c r="E456" s="7">
        <f t="shared" si="125"/>
        <v>-1.8164779674113187</v>
      </c>
      <c r="F456" s="7"/>
      <c r="G456">
        <f t="shared" si="119"/>
        <v>614.1047773333333</v>
      </c>
      <c r="H456" s="8">
        <f t="shared" si="120"/>
        <v>-0.12980129533593754</v>
      </c>
      <c r="I456" s="30">
        <f>IF(H456&lt;1,(Data!$G$16+14+0.8*Data!$G$17+Data!$G$18*(1-H456))*(1-H456),(Data!$G$16+6+Data!$G$17*(H456-0.6))*(H456-0.6))</f>
        <v>33.28349716702302</v>
      </c>
      <c r="J456" s="28">
        <f t="shared" si="116"/>
        <v>49.890372587647846</v>
      </c>
      <c r="K456" t="str">
        <f t="shared" si="121"/>
        <v>Cut</v>
      </c>
      <c r="L456" s="28">
        <f t="shared" si="122"/>
        <v>49.890372587647846</v>
      </c>
      <c r="M456" s="28">
        <f t="shared" si="123"/>
        <v>0</v>
      </c>
      <c r="N456" s="28">
        <f>SUM($L$3:L456)</f>
        <v>106067.21128112196</v>
      </c>
      <c r="O456" s="28">
        <f>SUM($M$3:M456)</f>
        <v>79470.022047077</v>
      </c>
      <c r="Q456">
        <f>MATCH(C456,Ground!$A$3:$A$1999,1)</f>
        <v>132</v>
      </c>
      <c r="R456">
        <f ca="1">OFFSET(Ground!$A$2,Volume!Q456,0)</f>
        <v>7930</v>
      </c>
      <c r="S456">
        <f ca="1">OFFSET(Ground!$A$2,Volume!Q456,1)</f>
        <v>614.252496</v>
      </c>
      <c r="T456">
        <f ca="1">OFFSET(Ground!$A$2,Volume!Q456+1,0)</f>
        <v>7960</v>
      </c>
      <c r="U456">
        <f ca="1">OFFSET(Ground!$A$2,Volume!Q456+1,1)</f>
        <v>613.731136</v>
      </c>
      <c r="V456" s="26"/>
      <c r="W456">
        <f t="shared" si="117"/>
        <v>-125.94998381680061</v>
      </c>
      <c r="X456">
        <f>IF(Volume!W456&lt;'Temp Calcs'!$E$8,1,0)</f>
        <v>1</v>
      </c>
      <c r="Z456">
        <f t="shared" si="118"/>
        <v>125.11287045377915</v>
      </c>
      <c r="AA456">
        <f>IF(Volume!Z456&gt;'Temp Calcs'!$L$8,1,0)</f>
        <v>1</v>
      </c>
      <c r="AB456" s="8"/>
      <c r="AC456" s="7"/>
    </row>
    <row r="457" spans="1:29" ht="12.75">
      <c r="A457" s="1">
        <v>456</v>
      </c>
      <c r="C457" s="7">
        <f t="shared" si="126"/>
        <v>7940</v>
      </c>
      <c r="D457" s="8">
        <f t="shared" si="124"/>
        <v>613.9480157460855</v>
      </c>
      <c r="E457" s="7">
        <f t="shared" si="125"/>
        <v>-1.7782276208440395</v>
      </c>
      <c r="F457" s="7"/>
      <c r="G457">
        <f t="shared" si="119"/>
        <v>614.0787093333333</v>
      </c>
      <c r="H457" s="8">
        <f t="shared" si="120"/>
        <v>-0.13069358724783342</v>
      </c>
      <c r="I457" s="30">
        <f>IF(H457&lt;1,(Data!$G$16+14+0.8*Data!$G$17+Data!$G$18*(1-H457))*(1-H457),(Data!$G$16+6+Data!$G$17*(H457-0.6))*(H457-0.6))</f>
        <v>33.311801549627816</v>
      </c>
      <c r="J457" s="28">
        <f t="shared" si="116"/>
        <v>49.94647403748812</v>
      </c>
      <c r="K457" t="str">
        <f t="shared" si="121"/>
        <v>Cut</v>
      </c>
      <c r="L457" s="28">
        <f t="shared" si="122"/>
        <v>49.94647403748812</v>
      </c>
      <c r="M457" s="28">
        <f t="shared" si="123"/>
        <v>0</v>
      </c>
      <c r="N457" s="28">
        <f>SUM($L$3:L457)</f>
        <v>106117.15775515944</v>
      </c>
      <c r="O457" s="28">
        <f>SUM($M$3:M457)</f>
        <v>79470.022047077</v>
      </c>
      <c r="Q457">
        <f>MATCH(C457,Ground!$A$3:$A$1999,1)</f>
        <v>132</v>
      </c>
      <c r="R457">
        <f ca="1">OFFSET(Ground!$A$2,Volume!Q457,0)</f>
        <v>7930</v>
      </c>
      <c r="S457">
        <f ca="1">OFFSET(Ground!$A$2,Volume!Q457,1)</f>
        <v>614.252496</v>
      </c>
      <c r="T457">
        <f ca="1">OFFSET(Ground!$A$2,Volume!Q457+1,0)</f>
        <v>7960</v>
      </c>
      <c r="U457">
        <f ca="1">OFFSET(Ground!$A$2,Volume!Q457+1,1)</f>
        <v>613.731136</v>
      </c>
      <c r="V457" s="26"/>
      <c r="W457">
        <f t="shared" si="117"/>
        <v>-126.29214505123593</v>
      </c>
      <c r="X457">
        <f>IF(Volume!W457&lt;'Temp Calcs'!$E$8,1,0)</f>
        <v>1</v>
      </c>
      <c r="Z457">
        <f t="shared" si="118"/>
        <v>125.4534543331828</v>
      </c>
      <c r="AA457">
        <f>IF(Volume!Z457&gt;'Temp Calcs'!$L$8,1,0)</f>
        <v>1</v>
      </c>
      <c r="AB457" s="8"/>
      <c r="AC457" s="7"/>
    </row>
    <row r="458" spans="1:29" ht="12.75">
      <c r="A458" s="1">
        <v>457</v>
      </c>
      <c r="C458" s="7">
        <f t="shared" si="126"/>
        <v>7941.5</v>
      </c>
      <c r="D458" s="8">
        <f t="shared" si="124"/>
        <v>613.9216292093721</v>
      </c>
      <c r="E458" s="7">
        <f t="shared" si="125"/>
        <v>-1.7399772742767603</v>
      </c>
      <c r="F458" s="7"/>
      <c r="G458">
        <f t="shared" si="119"/>
        <v>614.0526413333333</v>
      </c>
      <c r="H458" s="8">
        <f t="shared" si="120"/>
        <v>-0.1310121239612272</v>
      </c>
      <c r="I458" s="30">
        <f>IF(H458&lt;1,(Data!$G$16+14+0.8*Data!$G$17+Data!$G$18*(1-H458))*(1-H458),(Data!$G$16+6+Data!$G$17*(H458-0.6))*(H458-0.6))</f>
        <v>33.321906620839954</v>
      </c>
      <c r="J458" s="28">
        <f t="shared" si="116"/>
        <v>49.97528112785083</v>
      </c>
      <c r="K458" t="str">
        <f t="shared" si="121"/>
        <v>Cut</v>
      </c>
      <c r="L458" s="28">
        <f t="shared" si="122"/>
        <v>49.97528112785083</v>
      </c>
      <c r="M458" s="28">
        <f t="shared" si="123"/>
        <v>0</v>
      </c>
      <c r="N458" s="28">
        <f>SUM($L$3:L458)</f>
        <v>106167.13303628728</v>
      </c>
      <c r="O458" s="28">
        <f>SUM($M$3:M458)</f>
        <v>79470.022047077</v>
      </c>
      <c r="Q458">
        <f>MATCH(C458,Ground!$A$3:$A$1999,1)</f>
        <v>132</v>
      </c>
      <c r="R458">
        <f ca="1">OFFSET(Ground!$A$2,Volume!Q458,0)</f>
        <v>7930</v>
      </c>
      <c r="S458">
        <f ca="1">OFFSET(Ground!$A$2,Volume!Q458,1)</f>
        <v>614.252496</v>
      </c>
      <c r="T458">
        <f ca="1">OFFSET(Ground!$A$2,Volume!Q458+1,0)</f>
        <v>7960</v>
      </c>
      <c r="U458">
        <f ca="1">OFFSET(Ground!$A$2,Volume!Q458+1,1)</f>
        <v>613.731136</v>
      </c>
      <c r="V458" s="26"/>
      <c r="W458">
        <f t="shared" si="117"/>
        <v>-126.63051067123381</v>
      </c>
      <c r="X458">
        <f>IF(Volume!W458&lt;'Temp Calcs'!$E$8,1,0)</f>
        <v>1</v>
      </c>
      <c r="Z458">
        <f t="shared" si="118"/>
        <v>125.79027040003805</v>
      </c>
      <c r="AA458">
        <f>IF(Volume!Z458&gt;'Temp Calcs'!$L$8,1,0)</f>
        <v>1</v>
      </c>
      <c r="AB458" s="8"/>
      <c r="AC458" s="7"/>
    </row>
    <row r="459" spans="1:29" ht="12.75">
      <c r="A459" s="1">
        <v>458</v>
      </c>
      <c r="C459" s="7">
        <f t="shared" si="126"/>
        <v>7943</v>
      </c>
      <c r="D459" s="8">
        <f t="shared" si="124"/>
        <v>613.8958164278572</v>
      </c>
      <c r="E459" s="7">
        <f t="shared" si="125"/>
        <v>-1.701726927709481</v>
      </c>
      <c r="F459" s="7"/>
      <c r="G459">
        <f t="shared" si="119"/>
        <v>614.0265733333333</v>
      </c>
      <c r="H459" s="8">
        <f t="shared" si="120"/>
        <v>-0.13075690547611885</v>
      </c>
      <c r="I459" s="30">
        <f>IF(H459&lt;1,(Data!$G$16+14+0.8*Data!$G$17+Data!$G$18*(1-H459))*(1-H459),(Data!$G$16+6+Data!$G$17*(H459-0.6))*(H459-0.6))</f>
        <v>33.313810187514285</v>
      </c>
      <c r="J459" s="28">
        <f t="shared" si="116"/>
        <v>49.976787606265674</v>
      </c>
      <c r="K459" t="str">
        <f t="shared" si="121"/>
        <v>Cut</v>
      </c>
      <c r="L459" s="28">
        <f t="shared" si="122"/>
        <v>49.976787606265674</v>
      </c>
      <c r="M459" s="28">
        <f t="shared" si="123"/>
        <v>0</v>
      </c>
      <c r="N459" s="28">
        <f>SUM($L$3:L459)</f>
        <v>106217.10982389355</v>
      </c>
      <c r="O459" s="28">
        <f>SUM($M$3:M459)</f>
        <v>79470.022047077</v>
      </c>
      <c r="Q459">
        <f>MATCH(C459,Ground!$A$3:$A$1999,1)</f>
        <v>132</v>
      </c>
      <c r="R459">
        <f ca="1">OFFSET(Ground!$A$2,Volume!Q459,0)</f>
        <v>7930</v>
      </c>
      <c r="S459">
        <f ca="1">OFFSET(Ground!$A$2,Volume!Q459,1)</f>
        <v>614.252496</v>
      </c>
      <c r="T459">
        <f ca="1">OFFSET(Ground!$A$2,Volume!Q459+1,0)</f>
        <v>7960</v>
      </c>
      <c r="U459">
        <f ca="1">OFFSET(Ground!$A$2,Volume!Q459+1,1)</f>
        <v>613.731136</v>
      </c>
      <c r="V459" s="26"/>
      <c r="W459">
        <f t="shared" si="117"/>
        <v>-126.96501874582982</v>
      </c>
      <c r="X459">
        <f>IF(Volume!W459&lt;'Temp Calcs'!$E$8,1,0)</f>
        <v>1</v>
      </c>
      <c r="Z459">
        <f t="shared" si="118"/>
        <v>126.12325706485372</v>
      </c>
      <c r="AA459">
        <f>IF(Volume!Z459&gt;'Temp Calcs'!$L$8,1,0)</f>
        <v>1</v>
      </c>
      <c r="AB459" s="8"/>
      <c r="AC459" s="7"/>
    </row>
    <row r="460" spans="1:29" ht="12.75">
      <c r="A460" s="1">
        <v>459</v>
      </c>
      <c r="C460" s="7">
        <f t="shared" si="126"/>
        <v>7944.5</v>
      </c>
      <c r="D460" s="8">
        <f t="shared" si="124"/>
        <v>613.8705774015408</v>
      </c>
      <c r="E460" s="7">
        <f t="shared" si="125"/>
        <v>-1.663476581142202</v>
      </c>
      <c r="F460" s="7"/>
      <c r="G460">
        <f t="shared" si="119"/>
        <v>614.0005053333333</v>
      </c>
      <c r="H460" s="8">
        <f t="shared" si="120"/>
        <v>-0.1299279317925084</v>
      </c>
      <c r="I460" s="30">
        <f>IF(H460&lt;1,(Data!$G$16+14+0.8*Data!$G$17+Data!$G$18*(1-H460))*(1-H460),(Data!$G$16+6+Data!$G$17*(H460-0.6))*(H460-0.6))</f>
        <v>33.28751400684602</v>
      </c>
      <c r="J460" s="28">
        <f t="shared" si="116"/>
        <v>49.95099314577023</v>
      </c>
      <c r="K460" t="str">
        <f t="shared" si="121"/>
        <v>Cut</v>
      </c>
      <c r="L460" s="28">
        <f t="shared" si="122"/>
        <v>49.95099314577023</v>
      </c>
      <c r="M460" s="28">
        <f t="shared" si="123"/>
        <v>0</v>
      </c>
      <c r="N460" s="28">
        <f>SUM($L$3:L460)</f>
        <v>106267.06081703932</v>
      </c>
      <c r="O460" s="28">
        <f>SUM($M$3:M460)</f>
        <v>79470.022047077</v>
      </c>
      <c r="Q460">
        <f>MATCH(C460,Ground!$A$3:$A$1999,1)</f>
        <v>132</v>
      </c>
      <c r="R460">
        <f ca="1">OFFSET(Ground!$A$2,Volume!Q460,0)</f>
        <v>7930</v>
      </c>
      <c r="S460">
        <f ca="1">OFFSET(Ground!$A$2,Volume!Q460,1)</f>
        <v>614.252496</v>
      </c>
      <c r="T460">
        <f ca="1">OFFSET(Ground!$A$2,Volume!Q460+1,0)</f>
        <v>7960</v>
      </c>
      <c r="U460">
        <f ca="1">OFFSET(Ground!$A$2,Volume!Q460+1,1)</f>
        <v>613.731136</v>
      </c>
      <c r="V460" s="26"/>
      <c r="W460">
        <f t="shared" si="117"/>
        <v>-127.29560782290261</v>
      </c>
      <c r="X460">
        <f>IF(Volume!W460&lt;'Temp Calcs'!$E$8,1,0)</f>
        <v>1</v>
      </c>
      <c r="Z460">
        <f t="shared" si="118"/>
        <v>126.45235321267852</v>
      </c>
      <c r="AA460">
        <f>IF(Volume!Z460&gt;'Temp Calcs'!$L$8,1,0)</f>
        <v>1</v>
      </c>
      <c r="AB460" s="8"/>
      <c r="AC460" s="7"/>
    </row>
    <row r="461" spans="1:29" ht="12.75">
      <c r="A461" s="1">
        <v>460</v>
      </c>
      <c r="C461" s="7">
        <f t="shared" si="126"/>
        <v>7946</v>
      </c>
      <c r="D461" s="8">
        <f t="shared" si="124"/>
        <v>613.845912130423</v>
      </c>
      <c r="E461" s="7">
        <f t="shared" si="125"/>
        <v>-1.6252262345749229</v>
      </c>
      <c r="F461" s="7"/>
      <c r="G461">
        <f t="shared" si="119"/>
        <v>613.9744373333333</v>
      </c>
      <c r="H461" s="8">
        <f t="shared" si="120"/>
        <v>-0.12852520291028213</v>
      </c>
      <c r="I461" s="30">
        <f>IF(H461&lt;1,(Data!$G$16+14+0.8*Data!$G$17+Data!$G$18*(1-H461))*(1-H461),(Data!$G$16+6+Data!$G$17*(H461-0.6))*(H461-0.6))</f>
        <v>33.24302378636706</v>
      </c>
      <c r="J461" s="28">
        <f t="shared" si="116"/>
        <v>49.897903344909814</v>
      </c>
      <c r="K461" t="str">
        <f t="shared" si="121"/>
        <v>Cut</v>
      </c>
      <c r="L461" s="28">
        <f t="shared" si="122"/>
        <v>49.897903344909814</v>
      </c>
      <c r="M461" s="28">
        <f t="shared" si="123"/>
        <v>0</v>
      </c>
      <c r="N461" s="28">
        <f>SUM($L$3:L461)</f>
        <v>106316.95872038424</v>
      </c>
      <c r="O461" s="28">
        <f>SUM($M$3:M461)</f>
        <v>79470.022047077</v>
      </c>
      <c r="Q461">
        <f>MATCH(C461,Ground!$A$3:$A$1999,1)</f>
        <v>132</v>
      </c>
      <c r="R461">
        <f ca="1">OFFSET(Ground!$A$2,Volume!Q461,0)</f>
        <v>7930</v>
      </c>
      <c r="S461">
        <f ca="1">OFFSET(Ground!$A$2,Volume!Q461,1)</f>
        <v>614.252496</v>
      </c>
      <c r="T461">
        <f ca="1">OFFSET(Ground!$A$2,Volume!Q461+1,0)</f>
        <v>7960</v>
      </c>
      <c r="U461">
        <f ca="1">OFFSET(Ground!$A$2,Volume!Q461+1,1)</f>
        <v>613.731136</v>
      </c>
      <c r="V461" s="26"/>
      <c r="W461">
        <f t="shared" si="117"/>
        <v>-127.62221695834266</v>
      </c>
      <c r="X461">
        <f>IF(Volume!W461&lt;'Temp Calcs'!$E$8,1,0)</f>
        <v>1</v>
      </c>
      <c r="Z461">
        <f t="shared" si="118"/>
        <v>126.7774982320948</v>
      </c>
      <c r="AA461">
        <f>IF(Volume!Z461&gt;'Temp Calcs'!$L$8,1,0)</f>
        <v>1</v>
      </c>
      <c r="AB461" s="8"/>
      <c r="AC461" s="7"/>
    </row>
    <row r="462" spans="1:29" ht="12.75">
      <c r="A462" s="1">
        <v>461</v>
      </c>
      <c r="C462" s="7">
        <f t="shared" si="126"/>
        <v>7947.5</v>
      </c>
      <c r="D462" s="8">
        <f t="shared" si="124"/>
        <v>613.8218206145035</v>
      </c>
      <c r="E462" s="7">
        <f t="shared" si="125"/>
        <v>-1.5869758880076437</v>
      </c>
      <c r="F462" s="7"/>
      <c r="G462">
        <f t="shared" si="119"/>
        <v>613.9483693333333</v>
      </c>
      <c r="H462" s="8">
        <f t="shared" si="120"/>
        <v>-0.12654871882978114</v>
      </c>
      <c r="I462" s="30">
        <f>IF(H462&lt;1,(Data!$G$16+14+0.8*Data!$G$17+Data!$G$18*(1-H462))*(1-H462),(Data!$G$16+6+Data!$G$17*(H462-0.6))*(H462-0.6))</f>
        <v>33.18034918396409</v>
      </c>
      <c r="J462" s="28">
        <f t="shared" si="116"/>
        <v>49.81752972774836</v>
      </c>
      <c r="K462" t="str">
        <f t="shared" si="121"/>
        <v>Cut</v>
      </c>
      <c r="L462" s="28">
        <f t="shared" si="122"/>
        <v>49.81752972774836</v>
      </c>
      <c r="M462" s="28">
        <f t="shared" si="123"/>
        <v>0</v>
      </c>
      <c r="N462" s="28">
        <f>SUM($L$3:L462)</f>
        <v>106366.77625011199</v>
      </c>
      <c r="O462" s="28">
        <f>SUM($M$3:M462)</f>
        <v>79470.022047077</v>
      </c>
      <c r="Q462">
        <f>MATCH(C462,Ground!$A$3:$A$1999,1)</f>
        <v>132</v>
      </c>
      <c r="R462">
        <f ca="1">OFFSET(Ground!$A$2,Volume!Q462,0)</f>
        <v>7930</v>
      </c>
      <c r="S462">
        <f ca="1">OFFSET(Ground!$A$2,Volume!Q462,1)</f>
        <v>614.252496</v>
      </c>
      <c r="T462">
        <f ca="1">OFFSET(Ground!$A$2,Volume!Q462+1,0)</f>
        <v>7960</v>
      </c>
      <c r="U462">
        <f ca="1">OFFSET(Ground!$A$2,Volume!Q462+1,1)</f>
        <v>613.731136</v>
      </c>
      <c r="V462" s="26"/>
      <c r="W462">
        <f t="shared" si="117"/>
        <v>-127.94478574523427</v>
      </c>
      <c r="X462">
        <f>IF(Volume!W462&lt;'Temp Calcs'!$E$8,1,0)</f>
        <v>1</v>
      </c>
      <c r="Z462">
        <f t="shared" si="118"/>
        <v>127.09863204422582</v>
      </c>
      <c r="AA462">
        <f>IF(Volume!Z462&gt;'Temp Calcs'!$L$8,1,0)</f>
        <v>1</v>
      </c>
      <c r="AB462" s="8"/>
      <c r="AC462" s="7"/>
    </row>
    <row r="463" spans="1:29" ht="12.75">
      <c r="A463" s="1">
        <v>462</v>
      </c>
      <c r="C463" s="7">
        <f t="shared" si="126"/>
        <v>7949</v>
      </c>
      <c r="D463" s="8">
        <f t="shared" si="124"/>
        <v>613.7983028537827</v>
      </c>
      <c r="E463" s="7">
        <f t="shared" si="125"/>
        <v>-1.5487255414403645</v>
      </c>
      <c r="F463" s="7"/>
      <c r="G463">
        <f t="shared" si="119"/>
        <v>613.9223013333333</v>
      </c>
      <c r="H463" s="8">
        <f t="shared" si="120"/>
        <v>-0.12399847955055066</v>
      </c>
      <c r="I463" s="30">
        <f>IF(H463&lt;1,(Data!$G$16+14+0.8*Data!$G$17+Data!$G$18*(1-H463))*(1-H463),(Data!$G$16+6+Data!$G$17*(H463-0.6))*(H463-0.6))</f>
        <v>33.09950380783888</v>
      </c>
      <c r="J463" s="28">
        <f t="shared" si="116"/>
        <v>49.70988974385223</v>
      </c>
      <c r="K463" t="str">
        <f t="shared" si="121"/>
        <v>Cut</v>
      </c>
      <c r="L463" s="28">
        <f t="shared" si="122"/>
        <v>49.70988974385223</v>
      </c>
      <c r="M463" s="28">
        <f t="shared" si="123"/>
        <v>0</v>
      </c>
      <c r="N463" s="28">
        <f>SUM($L$3:L463)</f>
        <v>106416.48613985584</v>
      </c>
      <c r="O463" s="28">
        <f>SUM($M$3:M463)</f>
        <v>79470.022047077</v>
      </c>
      <c r="Q463">
        <f>MATCH(C463,Ground!$A$3:$A$1999,1)</f>
        <v>132</v>
      </c>
      <c r="R463">
        <f ca="1">OFFSET(Ground!$A$2,Volume!Q463,0)</f>
        <v>7930</v>
      </c>
      <c r="S463">
        <f ca="1">OFFSET(Ground!$A$2,Volume!Q463,1)</f>
        <v>614.252496</v>
      </c>
      <c r="T463">
        <f ca="1">OFFSET(Ground!$A$2,Volume!Q463+1,0)</f>
        <v>7960</v>
      </c>
      <c r="U463">
        <f ca="1">OFFSET(Ground!$A$2,Volume!Q463+1,1)</f>
        <v>613.731136</v>
      </c>
      <c r="V463" s="26"/>
      <c r="W463">
        <f t="shared" si="117"/>
        <v>-128.2632543430029</v>
      </c>
      <c r="X463">
        <f>IF(Volume!W463&lt;'Temp Calcs'!$E$8,1,0)</f>
        <v>1</v>
      </c>
      <c r="Z463">
        <f t="shared" si="118"/>
        <v>127.41569513170987</v>
      </c>
      <c r="AA463">
        <f>IF(Volume!Z463&gt;'Temp Calcs'!$L$8,1,0)</f>
        <v>1</v>
      </c>
      <c r="AB463" s="8"/>
      <c r="AC463" s="7"/>
    </row>
    <row r="464" spans="1:29" ht="12.75">
      <c r="A464" s="1">
        <v>463</v>
      </c>
      <c r="C464" s="7">
        <f t="shared" si="126"/>
        <v>7950.5</v>
      </c>
      <c r="D464" s="8">
        <f t="shared" si="124"/>
        <v>613.7753588482603</v>
      </c>
      <c r="E464" s="7">
        <f t="shared" si="125"/>
        <v>-1.5104751948730852</v>
      </c>
      <c r="F464" s="7"/>
      <c r="G464">
        <f t="shared" si="119"/>
        <v>613.8962333333333</v>
      </c>
      <c r="H464" s="8">
        <f t="shared" si="120"/>
        <v>-0.12087448507293175</v>
      </c>
      <c r="I464" s="30">
        <f>IF(H464&lt;1,(Data!$G$16+14+0.8*Data!$G$17+Data!$G$18*(1-H464))*(1-H464),(Data!$G$16+6+Data!$G$17*(H464-0.6))*(H464-0.6))</f>
        <v>33.000505216558764</v>
      </c>
      <c r="J464" s="28">
        <f t="shared" si="116"/>
        <v>49.57500676829824</v>
      </c>
      <c r="K464" t="str">
        <f t="shared" si="121"/>
        <v>Cut</v>
      </c>
      <c r="L464" s="28">
        <f t="shared" si="122"/>
        <v>49.57500676829824</v>
      </c>
      <c r="M464" s="28">
        <f t="shared" si="123"/>
        <v>0</v>
      </c>
      <c r="N464" s="28">
        <f>SUM($L$3:L464)</f>
        <v>106466.06114662414</v>
      </c>
      <c r="O464" s="28">
        <f>SUM($M$3:M464)</f>
        <v>79470.022047077</v>
      </c>
      <c r="Q464">
        <f>MATCH(C464,Ground!$A$3:$A$1999,1)</f>
        <v>132</v>
      </c>
      <c r="R464">
        <f ca="1">OFFSET(Ground!$A$2,Volume!Q464,0)</f>
        <v>7930</v>
      </c>
      <c r="S464">
        <f ca="1">OFFSET(Ground!$A$2,Volume!Q464,1)</f>
        <v>614.252496</v>
      </c>
      <c r="T464">
        <f ca="1">OFFSET(Ground!$A$2,Volume!Q464+1,0)</f>
        <v>7960</v>
      </c>
      <c r="U464">
        <f ca="1">OFFSET(Ground!$A$2,Volume!Q464+1,1)</f>
        <v>613.731136</v>
      </c>
      <c r="V464" s="26"/>
      <c r="W464">
        <f t="shared" si="117"/>
        <v>-128.57756350654512</v>
      </c>
      <c r="X464">
        <f>IF(Volume!W464&lt;'Temp Calcs'!$E$8,1,0)</f>
        <v>1</v>
      </c>
      <c r="Z464">
        <f t="shared" si="118"/>
        <v>127.72862856765767</v>
      </c>
      <c r="AA464">
        <f>IF(Volume!Z464&gt;'Temp Calcs'!$L$8,1,0)</f>
        <v>1</v>
      </c>
      <c r="AB464" s="8"/>
      <c r="AC464" s="7"/>
    </row>
    <row r="465" spans="1:29" ht="12.75">
      <c r="A465" s="1">
        <v>464</v>
      </c>
      <c r="C465" s="7">
        <f t="shared" si="126"/>
        <v>7952</v>
      </c>
      <c r="D465" s="8">
        <f t="shared" si="124"/>
        <v>613.7529885979365</v>
      </c>
      <c r="E465" s="7">
        <f t="shared" si="125"/>
        <v>-1.472224848305806</v>
      </c>
      <c r="F465" s="7"/>
      <c r="G465">
        <f t="shared" si="119"/>
        <v>613.8701653333333</v>
      </c>
      <c r="H465" s="8">
        <f t="shared" si="120"/>
        <v>-0.11717673539681073</v>
      </c>
      <c r="I465" s="30">
        <f>IF(H465&lt;1,(Data!$G$16+14+0.8*Data!$G$17+Data!$G$18*(1-H465))*(1-H465),(Data!$G$16+6+Data!$G$17*(H465-0.6))*(H465-0.6))</f>
        <v>32.883374919017</v>
      </c>
      <c r="J465" s="28">
        <f t="shared" si="116"/>
        <v>49.412910101681824</v>
      </c>
      <c r="K465" t="str">
        <f t="shared" si="121"/>
        <v>Cut</v>
      </c>
      <c r="L465" s="28">
        <f t="shared" si="122"/>
        <v>49.412910101681824</v>
      </c>
      <c r="M465" s="28">
        <f t="shared" si="123"/>
        <v>0</v>
      </c>
      <c r="N465" s="28">
        <f>SUM($L$3:L465)</f>
        <v>106515.47405672583</v>
      </c>
      <c r="O465" s="28">
        <f>SUM($M$3:M465)</f>
        <v>79470.022047077</v>
      </c>
      <c r="Q465">
        <f>MATCH(C465,Ground!$A$3:$A$1999,1)</f>
        <v>132</v>
      </c>
      <c r="R465">
        <f ca="1">OFFSET(Ground!$A$2,Volume!Q465,0)</f>
        <v>7930</v>
      </c>
      <c r="S465">
        <f ca="1">OFFSET(Ground!$A$2,Volume!Q465,1)</f>
        <v>614.252496</v>
      </c>
      <c r="T465">
        <f ca="1">OFFSET(Ground!$A$2,Volume!Q465+1,0)</f>
        <v>7960</v>
      </c>
      <c r="U465">
        <f ca="1">OFFSET(Ground!$A$2,Volume!Q465+1,1)</f>
        <v>613.731136</v>
      </c>
      <c r="V465" s="26"/>
      <c r="W465">
        <f t="shared" si="117"/>
        <v>-128.8876546152644</v>
      </c>
      <c r="X465">
        <f>IF(Volume!W465&lt;'Temp Calcs'!$E$8,1,0)</f>
        <v>1</v>
      </c>
      <c r="Z465">
        <f t="shared" si="118"/>
        <v>128.03737404451738</v>
      </c>
      <c r="AA465">
        <f>IF(Volume!Z465&gt;'Temp Calcs'!$L$8,1,0)</f>
        <v>1</v>
      </c>
      <c r="AB465" s="8"/>
      <c r="AC465" s="7"/>
    </row>
    <row r="466" spans="1:29" ht="12.75">
      <c r="A466" s="1">
        <v>465</v>
      </c>
      <c r="C466" s="7">
        <f t="shared" si="126"/>
        <v>7953.5</v>
      </c>
      <c r="D466" s="8">
        <f t="shared" si="124"/>
        <v>613.7311921028112</v>
      </c>
      <c r="E466" s="7">
        <f t="shared" si="125"/>
        <v>-1.4339745017385268</v>
      </c>
      <c r="F466" s="7"/>
      <c r="G466">
        <f t="shared" si="119"/>
        <v>613.8440973333334</v>
      </c>
      <c r="H466" s="8">
        <f t="shared" si="120"/>
        <v>-0.1129052305221876</v>
      </c>
      <c r="I466" s="30">
        <f>IF(H466&lt;1,(Data!$G$16+14+0.8*Data!$G$17+Data!$G$18*(1-H466))*(1-H466),(Data!$G$16+6+Data!$G$17*(H466-0.6))*(H466-0.6))</f>
        <v>32.74813837445079</v>
      </c>
      <c r="J466" s="28">
        <f t="shared" si="116"/>
        <v>49.223634970100846</v>
      </c>
      <c r="K466" t="str">
        <f t="shared" si="121"/>
        <v>Cut</v>
      </c>
      <c r="L466" s="28">
        <f t="shared" si="122"/>
        <v>49.223634970100846</v>
      </c>
      <c r="M466" s="28">
        <f t="shared" si="123"/>
        <v>0</v>
      </c>
      <c r="N466" s="28">
        <f>SUM($L$3:L466)</f>
        <v>106564.69769169592</v>
      </c>
      <c r="O466" s="28">
        <f>SUM($M$3:M466)</f>
        <v>79470.022047077</v>
      </c>
      <c r="Q466">
        <f>MATCH(C466,Ground!$A$3:$A$1999,1)</f>
        <v>132</v>
      </c>
      <c r="R466">
        <f ca="1">OFFSET(Ground!$A$2,Volume!Q466,0)</f>
        <v>7930</v>
      </c>
      <c r="S466">
        <f ca="1">OFFSET(Ground!$A$2,Volume!Q466,1)</f>
        <v>614.252496</v>
      </c>
      <c r="T466">
        <f ca="1">OFFSET(Ground!$A$2,Volume!Q466+1,0)</f>
        <v>7960</v>
      </c>
      <c r="U466">
        <f ca="1">OFFSET(Ground!$A$2,Volume!Q466+1,1)</f>
        <v>613.731136</v>
      </c>
      <c r="V466" s="26"/>
      <c r="W466">
        <f t="shared" si="117"/>
        <v>-129.1934697020284</v>
      </c>
      <c r="X466">
        <f>IF(Volume!W466&lt;'Temp Calcs'!$E$8,1,0)</f>
        <v>1</v>
      </c>
      <c r="Z466">
        <f t="shared" si="118"/>
        <v>128.34187390286206</v>
      </c>
      <c r="AA466">
        <f>IF(Volume!Z466&gt;'Temp Calcs'!$L$8,1,0)</f>
        <v>1</v>
      </c>
      <c r="AB466" s="8"/>
      <c r="AC466" s="7"/>
    </row>
    <row r="467" spans="1:29" ht="12.75">
      <c r="A467" s="1">
        <v>466</v>
      </c>
      <c r="C467" s="7">
        <f t="shared" si="126"/>
        <v>7955</v>
      </c>
      <c r="D467" s="8">
        <f t="shared" si="124"/>
        <v>613.7099693628843</v>
      </c>
      <c r="E467" s="7">
        <f t="shared" si="125"/>
        <v>-1.3957241551712476</v>
      </c>
      <c r="F467" s="7"/>
      <c r="G467">
        <f t="shared" si="119"/>
        <v>613.8180293333334</v>
      </c>
      <c r="H467" s="8">
        <f t="shared" si="120"/>
        <v>-0.10805997044906235</v>
      </c>
      <c r="I467" s="30">
        <f>IF(H467&lt;1,(Data!$G$16+14+0.8*Data!$G$17+Data!$G$18*(1-H467))*(1-H467),(Data!$G$16+6+Data!$G$17*(H467-0.6))*(H467-0.6))</f>
        <v>32.59482499243765</v>
      </c>
      <c r="J467" s="28">
        <f t="shared" si="116"/>
        <v>49.00722252516633</v>
      </c>
      <c r="K467" t="str">
        <f t="shared" si="121"/>
        <v>Cut</v>
      </c>
      <c r="L467" s="28">
        <f t="shared" si="122"/>
        <v>49.00722252516633</v>
      </c>
      <c r="M467" s="28">
        <f t="shared" si="123"/>
        <v>0</v>
      </c>
      <c r="N467" s="28">
        <f>SUM($L$3:L467)</f>
        <v>106613.70491422109</v>
      </c>
      <c r="O467" s="28">
        <f>SUM($M$3:M467)</f>
        <v>79470.022047077</v>
      </c>
      <c r="Q467">
        <f>MATCH(C467,Ground!$A$3:$A$1999,1)</f>
        <v>132</v>
      </c>
      <c r="R467">
        <f ca="1">OFFSET(Ground!$A$2,Volume!Q467,0)</f>
        <v>7930</v>
      </c>
      <c r="S467">
        <f ca="1">OFFSET(Ground!$A$2,Volume!Q467,1)</f>
        <v>614.252496</v>
      </c>
      <c r="T467">
        <f ca="1">OFFSET(Ground!$A$2,Volume!Q467+1,0)</f>
        <v>7960</v>
      </c>
      <c r="U467">
        <f ca="1">OFFSET(Ground!$A$2,Volume!Q467+1,1)</f>
        <v>613.731136</v>
      </c>
      <c r="V467" s="26"/>
      <c r="W467">
        <f t="shared" si="117"/>
        <v>-129.49495148200498</v>
      </c>
      <c r="X467">
        <f>IF(Volume!W467&lt;'Temp Calcs'!$E$8,1,0)</f>
        <v>1</v>
      </c>
      <c r="Z467">
        <f t="shared" si="118"/>
        <v>128.64207116005804</v>
      </c>
      <c r="AA467">
        <f>IF(Volume!Z467&gt;'Temp Calcs'!$L$8,1,0)</f>
        <v>1</v>
      </c>
      <c r="AB467" s="8"/>
      <c r="AC467" s="7"/>
    </row>
    <row r="468" spans="1:29" ht="12.75">
      <c r="A468" s="1">
        <v>467</v>
      </c>
      <c r="C468" s="7">
        <f t="shared" si="126"/>
        <v>7956.5</v>
      </c>
      <c r="D468" s="8">
        <f t="shared" si="124"/>
        <v>613.689320378156</v>
      </c>
      <c r="E468" s="7">
        <f t="shared" si="125"/>
        <v>-1.3574738086039684</v>
      </c>
      <c r="F468" s="7"/>
      <c r="G468">
        <f t="shared" si="119"/>
        <v>613.7919613333333</v>
      </c>
      <c r="H468" s="8">
        <f t="shared" si="120"/>
        <v>-0.1026409551773213</v>
      </c>
      <c r="I468" s="30">
        <f>IF(H468&lt;1,(Data!$G$16+14+0.8*Data!$G$17+Data!$G$18*(1-H468))*(1-H468),(Data!$G$16+6+Data!$G$17*(H468-0.6))*(H468-0.6))</f>
        <v>32.42346813289185</v>
      </c>
      <c r="J468" s="28">
        <f t="shared" si="116"/>
        <v>48.76371984399713</v>
      </c>
      <c r="K468" t="str">
        <f t="shared" si="121"/>
        <v>Cut</v>
      </c>
      <c r="L468" s="28">
        <f t="shared" si="122"/>
        <v>48.76371984399713</v>
      </c>
      <c r="M468" s="28">
        <f t="shared" si="123"/>
        <v>0</v>
      </c>
      <c r="N468" s="28">
        <f>SUM($L$3:L468)</f>
        <v>106662.46863406508</v>
      </c>
      <c r="O468" s="28">
        <f>SUM($M$3:M468)</f>
        <v>79470.022047077</v>
      </c>
      <c r="Q468">
        <f>MATCH(C468,Ground!$A$3:$A$1999,1)</f>
        <v>132</v>
      </c>
      <c r="R468">
        <f ca="1">OFFSET(Ground!$A$2,Volume!Q468,0)</f>
        <v>7930</v>
      </c>
      <c r="S468">
        <f ca="1">OFFSET(Ground!$A$2,Volume!Q468,1)</f>
        <v>614.252496</v>
      </c>
      <c r="T468">
        <f ca="1">OFFSET(Ground!$A$2,Volume!Q468+1,0)</f>
        <v>7960</v>
      </c>
      <c r="U468">
        <f ca="1">OFFSET(Ground!$A$2,Volume!Q468+1,1)</f>
        <v>613.731136</v>
      </c>
      <c r="V468" s="26"/>
      <c r="W468">
        <f t="shared" si="117"/>
        <v>-129.79204338134193</v>
      </c>
      <c r="X468">
        <f>IF(Volume!W468&lt;'Temp Calcs'!$E$8,1,0)</f>
        <v>1</v>
      </c>
      <c r="Z468">
        <f t="shared" si="118"/>
        <v>128.93790953877843</v>
      </c>
      <c r="AA468">
        <f>IF(Volume!Z468&gt;'Temp Calcs'!$L$8,1,0)</f>
        <v>1</v>
      </c>
      <c r="AB468" s="8"/>
      <c r="AC468" s="7"/>
    </row>
    <row r="469" spans="1:29" ht="12.75">
      <c r="A469" s="1">
        <v>468</v>
      </c>
      <c r="C469" s="7">
        <f t="shared" si="126"/>
        <v>7958</v>
      </c>
      <c r="D469" s="8">
        <f t="shared" si="124"/>
        <v>613.6692451486263</v>
      </c>
      <c r="E469" s="7">
        <f t="shared" si="125"/>
        <v>-1.3192234620366894</v>
      </c>
      <c r="F469" s="7"/>
      <c r="G469">
        <f t="shared" si="119"/>
        <v>613.7658933333333</v>
      </c>
      <c r="H469" s="8">
        <f t="shared" si="120"/>
        <v>-0.09664818470707814</v>
      </c>
      <c r="I469" s="30">
        <f>IF(H469&lt;1,(Data!$G$16+14+0.8*Data!$G$17+Data!$G$18*(1-H469))*(1-H469),(Data!$G$16+6+Data!$G$17*(H469-0.6))*(H469-0.6))</f>
        <v>32.234105106075184</v>
      </c>
      <c r="J469" s="28">
        <f t="shared" si="116"/>
        <v>48.49317992922528</v>
      </c>
      <c r="K469" t="str">
        <f t="shared" si="121"/>
        <v>Cut</v>
      </c>
      <c r="L469" s="28">
        <f t="shared" si="122"/>
        <v>48.49317992922528</v>
      </c>
      <c r="M469" s="28">
        <f t="shared" si="123"/>
        <v>0</v>
      </c>
      <c r="N469" s="28">
        <f>SUM($L$3:L469)</f>
        <v>106710.9618139943</v>
      </c>
      <c r="O469" s="28">
        <f>SUM($M$3:M469)</f>
        <v>79470.022047077</v>
      </c>
      <c r="Q469">
        <f>MATCH(C469,Ground!$A$3:$A$1999,1)</f>
        <v>132</v>
      </c>
      <c r="R469">
        <f ca="1">OFFSET(Ground!$A$2,Volume!Q469,0)</f>
        <v>7930</v>
      </c>
      <c r="S469">
        <f ca="1">OFFSET(Ground!$A$2,Volume!Q469,1)</f>
        <v>614.252496</v>
      </c>
      <c r="T469">
        <f ca="1">OFFSET(Ground!$A$2,Volume!Q469+1,0)</f>
        <v>7960</v>
      </c>
      <c r="U469">
        <f ca="1">OFFSET(Ground!$A$2,Volume!Q469+1,1)</f>
        <v>613.731136</v>
      </c>
      <c r="V469" s="26"/>
      <c r="W469">
        <f t="shared" si="117"/>
        <v>-130.0846895656892</v>
      </c>
      <c r="X469">
        <f>IF(Volume!W469&lt;'Temp Calcs'!$E$8,1,0)</f>
        <v>1</v>
      </c>
      <c r="Z469">
        <f t="shared" si="118"/>
        <v>129.22933349536098</v>
      </c>
      <c r="AA469">
        <f>IF(Volume!Z469&gt;'Temp Calcs'!$L$8,1,0)</f>
        <v>1</v>
      </c>
      <c r="AB469" s="8"/>
      <c r="AC469" s="7"/>
    </row>
    <row r="470" spans="1:29" ht="12.75">
      <c r="A470" s="1">
        <v>469</v>
      </c>
      <c r="C470" s="7">
        <f t="shared" si="126"/>
        <v>7959.5</v>
      </c>
      <c r="D470" s="8">
        <f t="shared" si="124"/>
        <v>613.6497436742949</v>
      </c>
      <c r="E470" s="7">
        <f t="shared" si="125"/>
        <v>-1.28097311546941</v>
      </c>
      <c r="F470" s="7"/>
      <c r="G470">
        <f t="shared" si="119"/>
        <v>613.7398253333333</v>
      </c>
      <c r="H470" s="8">
        <f t="shared" si="120"/>
        <v>-0.09008165903844656</v>
      </c>
      <c r="I470" s="30">
        <f>IF(H470&lt;1,(Data!$G$16+14+0.8*Data!$G$17+Data!$G$18*(1-H470))*(1-H470),(Data!$G$16+6+Data!$G$17*(H470-0.6))*(H470-0.6))</f>
        <v>32.02677717258977</v>
      </c>
      <c r="J470" s="28">
        <f t="shared" si="116"/>
        <v>48.19566170899871</v>
      </c>
      <c r="K470" t="str">
        <f t="shared" si="121"/>
        <v>Cut</v>
      </c>
      <c r="L470" s="28">
        <f t="shared" si="122"/>
        <v>48.19566170899871</v>
      </c>
      <c r="M470" s="28">
        <f t="shared" si="123"/>
        <v>0</v>
      </c>
      <c r="N470" s="28">
        <f>SUM($L$3:L470)</f>
        <v>106759.15747570331</v>
      </c>
      <c r="O470" s="28">
        <f>SUM($M$3:M470)</f>
        <v>79470.022047077</v>
      </c>
      <c r="Q470">
        <f>MATCH(C470,Ground!$A$3:$A$1999,1)</f>
        <v>132</v>
      </c>
      <c r="R470">
        <f ca="1">OFFSET(Ground!$A$2,Volume!Q470,0)</f>
        <v>7930</v>
      </c>
      <c r="S470">
        <f ca="1">OFFSET(Ground!$A$2,Volume!Q470,1)</f>
        <v>614.252496</v>
      </c>
      <c r="T470">
        <f ca="1">OFFSET(Ground!$A$2,Volume!Q470+1,0)</f>
        <v>7960</v>
      </c>
      <c r="U470">
        <f ca="1">OFFSET(Ground!$A$2,Volume!Q470+1,1)</f>
        <v>613.731136</v>
      </c>
      <c r="V470" s="26"/>
      <c r="W470">
        <f t="shared" si="117"/>
        <v>-130.37283496851174</v>
      </c>
      <c r="X470">
        <f>IF(Volume!W470&lt;'Temp Calcs'!$E$8,1,0)</f>
        <v>1</v>
      </c>
      <c r="Z470">
        <f t="shared" si="118"/>
        <v>129.51628824795912</v>
      </c>
      <c r="AA470">
        <f>IF(Volume!Z470&gt;'Temp Calcs'!$L$8,1,0)</f>
        <v>1</v>
      </c>
      <c r="AB470" s="8"/>
      <c r="AC470" s="7"/>
    </row>
    <row r="471" spans="1:29" ht="12.75">
      <c r="A471" s="1">
        <v>470</v>
      </c>
      <c r="C471" s="7">
        <f t="shared" si="126"/>
        <v>7961</v>
      </c>
      <c r="D471" s="8">
        <f t="shared" si="124"/>
        <v>613.6308159551621</v>
      </c>
      <c r="E471" s="7">
        <f t="shared" si="125"/>
        <v>-1.242722768902131</v>
      </c>
      <c r="F471" s="7"/>
      <c r="G471">
        <f t="shared" si="119"/>
        <v>613.7234565333333</v>
      </c>
      <c r="H471" s="8">
        <f t="shared" si="120"/>
        <v>-0.0926405781711992</v>
      </c>
      <c r="I471" s="30">
        <f>IF(H471&lt;1,(Data!$G$16+14+0.8*Data!$G$17+Data!$G$18*(1-H471))*(1-H471),(Data!$G$16+6+Data!$G$17*(H471-0.6))*(H471-0.6))</f>
        <v>32.1075505923892</v>
      </c>
      <c r="J471" s="28">
        <f t="shared" si="116"/>
        <v>48.10074582373422</v>
      </c>
      <c r="K471" t="str">
        <f t="shared" si="121"/>
        <v>Cut</v>
      </c>
      <c r="L471" s="28">
        <f t="shared" si="122"/>
        <v>48.10074582373422</v>
      </c>
      <c r="M471" s="28">
        <f t="shared" si="123"/>
        <v>0</v>
      </c>
      <c r="N471" s="28">
        <f>SUM($L$3:L471)</f>
        <v>106807.25822152704</v>
      </c>
      <c r="O471" s="28">
        <f>SUM($M$3:M471)</f>
        <v>79470.022047077</v>
      </c>
      <c r="Q471">
        <f>MATCH(C471,Ground!$A$3:$A$1999,1)</f>
        <v>133</v>
      </c>
      <c r="R471">
        <f ca="1">OFFSET(Ground!$A$2,Volume!Q471,0)</f>
        <v>7960</v>
      </c>
      <c r="S471">
        <f ca="1">OFFSET(Ground!$A$2,Volume!Q471,1)</f>
        <v>613.731136</v>
      </c>
      <c r="T471">
        <f ca="1">OFFSET(Ground!$A$2,Volume!Q471+1,0)</f>
        <v>7990</v>
      </c>
      <c r="U471">
        <f ca="1">OFFSET(Ground!$A$2,Volume!Q471+1,1)</f>
        <v>613.500752</v>
      </c>
      <c r="V471" s="26"/>
      <c r="W471">
        <f t="shared" si="117"/>
        <v>-130.6564253191776</v>
      </c>
      <c r="X471">
        <f>IF(Volume!W471&lt;'Temp Calcs'!$E$8,1,0)</f>
        <v>1</v>
      </c>
      <c r="Z471">
        <f t="shared" si="118"/>
        <v>129.79871980447012</v>
      </c>
      <c r="AA471">
        <f>IF(Volume!Z471&gt;'Temp Calcs'!$L$8,1,0)</f>
        <v>1</v>
      </c>
      <c r="AB471" s="8"/>
      <c r="AC471" s="7"/>
    </row>
    <row r="472" spans="1:29" ht="12.75">
      <c r="A472" s="1">
        <v>471</v>
      </c>
      <c r="C472" s="7">
        <f t="shared" si="126"/>
        <v>7962.5</v>
      </c>
      <c r="D472" s="8">
        <f t="shared" si="124"/>
        <v>613.6124619912279</v>
      </c>
      <c r="E472" s="7">
        <f aca="true" t="shared" si="127" ref="E472:E501">$E$452+($E$502-$E$452)*(C472-$C$452)/($C$502-$C$452)</f>
        <v>-1.2044724223348517</v>
      </c>
      <c r="F472" s="7"/>
      <c r="G472">
        <f aca="true" t="shared" si="128" ref="G472:G501">S472+(U472-S472)*(C472-R472)/(T472-R472)</f>
        <v>613.7119373333334</v>
      </c>
      <c r="H472" s="8">
        <f aca="true" t="shared" si="129" ref="H472:H501">D472-G472</f>
        <v>-0.09947534210550657</v>
      </c>
      <c r="I472" s="30">
        <f>IF(H472&lt;1,(Data!$G$16+14+0.8*Data!$G$17+Data!$G$18*(1-H472))*(1-H472),(Data!$G$16+6+Data!$G$17*(H472-0.6))*(H472-0.6))</f>
        <v>32.32342136106582</v>
      </c>
      <c r="J472" s="28">
        <f t="shared" si="116"/>
        <v>48.32322896509126</v>
      </c>
      <c r="K472" t="str">
        <f aca="true" t="shared" si="130" ref="K472:K501">IF(H472&lt;0.5,"Cut","Fill")</f>
        <v>Cut</v>
      </c>
      <c r="L472" s="28">
        <f aca="true" t="shared" si="131" ref="L472:L502">IF(K472="Cut",J472,0)</f>
        <v>48.32322896509126</v>
      </c>
      <c r="M472" s="28">
        <f aca="true" t="shared" si="132" ref="M472:M501">IF(K472="Fill",J472,0)</f>
        <v>0</v>
      </c>
      <c r="N472" s="28">
        <f>SUM($L$3:L472)</f>
        <v>106855.58145049213</v>
      </c>
      <c r="O472" s="28">
        <f>SUM($M$3:M472)</f>
        <v>79470.022047077</v>
      </c>
      <c r="Q472">
        <f>MATCH(C472,Ground!$A$3:$A$1999,1)</f>
        <v>133</v>
      </c>
      <c r="R472">
        <f ca="1">OFFSET(Ground!$A$2,Volume!Q472,0)</f>
        <v>7960</v>
      </c>
      <c r="S472">
        <f ca="1">OFFSET(Ground!$A$2,Volume!Q472,1)</f>
        <v>613.731136</v>
      </c>
      <c r="T472">
        <f ca="1">OFFSET(Ground!$A$2,Volume!Q472+1,0)</f>
        <v>7990</v>
      </c>
      <c r="U472">
        <f ca="1">OFFSET(Ground!$A$2,Volume!Q472+1,1)</f>
        <v>613.500752</v>
      </c>
      <c r="V472" s="26"/>
      <c r="W472">
        <f t="shared" si="117"/>
        <v>-130.93540717080367</v>
      </c>
      <c r="X472">
        <f>IF(Volume!W472&lt;'Temp Calcs'!$E$8,1,0)</f>
        <v>1</v>
      </c>
      <c r="Z472">
        <f t="shared" si="118"/>
        <v>130.07657499022346</v>
      </c>
      <c r="AA472">
        <f>IF(Volume!Z472&gt;'Temp Calcs'!$L$8,1,0)</f>
        <v>1</v>
      </c>
      <c r="AB472" s="8"/>
      <c r="AC472" s="7"/>
    </row>
    <row r="473" spans="1:29" ht="12.75">
      <c r="A473" s="1">
        <v>472</v>
      </c>
      <c r="C473" s="7">
        <f t="shared" si="126"/>
        <v>7964</v>
      </c>
      <c r="D473" s="8">
        <f t="shared" si="124"/>
        <v>613.5946817824921</v>
      </c>
      <c r="E473" s="7">
        <f t="shared" si="127"/>
        <v>-1.1662220757675725</v>
      </c>
      <c r="F473" s="7"/>
      <c r="G473">
        <f t="shared" si="128"/>
        <v>613.7004181333333</v>
      </c>
      <c r="H473" s="8">
        <f t="shared" si="129"/>
        <v>-0.10573635084119815</v>
      </c>
      <c r="I473" s="30">
        <f>IF(H473&lt;1,(Data!$G$16+14+0.8*Data!$G$17+Data!$G$18*(1-H473))*(1-H473),(Data!$G$16+6+Data!$G$17*(H473-0.6))*(H473-0.6))</f>
        <v>32.521334498023805</v>
      </c>
      <c r="J473" s="28">
        <f t="shared" si="116"/>
        <v>48.63356689431721</v>
      </c>
      <c r="K473" t="str">
        <f t="shared" si="130"/>
        <v>Cut</v>
      </c>
      <c r="L473" s="28">
        <f t="shared" si="131"/>
        <v>48.63356689431721</v>
      </c>
      <c r="M473" s="28">
        <f t="shared" si="132"/>
        <v>0</v>
      </c>
      <c r="N473" s="28">
        <f>SUM($L$3:L473)</f>
        <v>106904.21501738645</v>
      </c>
      <c r="O473" s="28">
        <f>SUM($M$3:M473)</f>
        <v>79470.022047077</v>
      </c>
      <c r="Q473">
        <f>MATCH(C473,Ground!$A$3:$A$1999,1)</f>
        <v>133</v>
      </c>
      <c r="R473">
        <f ca="1">OFFSET(Ground!$A$2,Volume!Q473,0)</f>
        <v>7960</v>
      </c>
      <c r="S473">
        <f ca="1">OFFSET(Ground!$A$2,Volume!Q473,1)</f>
        <v>613.731136</v>
      </c>
      <c r="T473">
        <f ca="1">OFFSET(Ground!$A$2,Volume!Q473+1,0)</f>
        <v>7990</v>
      </c>
      <c r="U473">
        <f ca="1">OFFSET(Ground!$A$2,Volume!Q473+1,1)</f>
        <v>613.500752</v>
      </c>
      <c r="V473" s="26"/>
      <c r="W473">
        <f t="shared" si="117"/>
        <v>-131.20972792781305</v>
      </c>
      <c r="X473">
        <f>IF(Volume!W473&lt;'Temp Calcs'!$E$8,1,0)</f>
        <v>1</v>
      </c>
      <c r="Z473">
        <f t="shared" si="118"/>
        <v>130.34980147538363</v>
      </c>
      <c r="AA473">
        <f>IF(Volume!Z473&gt;'Temp Calcs'!$L$8,1,0)</f>
        <v>1</v>
      </c>
      <c r="AB473" s="8"/>
      <c r="AC473" s="7"/>
    </row>
    <row r="474" spans="1:29" ht="12.75">
      <c r="A474" s="1">
        <v>473</v>
      </c>
      <c r="C474" s="7">
        <f t="shared" si="126"/>
        <v>7965.5</v>
      </c>
      <c r="D474" s="8">
        <f t="shared" si="124"/>
        <v>613.5774753289548</v>
      </c>
      <c r="E474" s="7">
        <f t="shared" si="127"/>
        <v>-1.127971729200293</v>
      </c>
      <c r="F474" s="7"/>
      <c r="G474">
        <f t="shared" si="128"/>
        <v>613.6888989333333</v>
      </c>
      <c r="H474" s="8">
        <f t="shared" si="129"/>
        <v>-0.1114236043785013</v>
      </c>
      <c r="I474" s="30">
        <f>IF(H474&lt;1,(Data!$G$16+14+0.8*Data!$G$17+Data!$G$18*(1-H474))*(1-H474),(Data!$G$16+6+Data!$G$17*(H474-0.6))*(H474-0.6))</f>
        <v>32.701246895834636</v>
      </c>
      <c r="J474" s="28">
        <f t="shared" si="116"/>
        <v>48.916936045393825</v>
      </c>
      <c r="K474" t="str">
        <f t="shared" si="130"/>
        <v>Cut</v>
      </c>
      <c r="L474" s="28">
        <f t="shared" si="131"/>
        <v>48.916936045393825</v>
      </c>
      <c r="M474" s="28">
        <f t="shared" si="132"/>
        <v>0</v>
      </c>
      <c r="N474" s="28">
        <f>SUM($L$3:L474)</f>
        <v>106953.13195343185</v>
      </c>
      <c r="O474" s="28">
        <f>SUM($M$3:M474)</f>
        <v>79470.022047077</v>
      </c>
      <c r="Q474">
        <f>MATCH(C474,Ground!$A$3:$A$1999,1)</f>
        <v>133</v>
      </c>
      <c r="R474">
        <f ca="1">OFFSET(Ground!$A$2,Volume!Q474,0)</f>
        <v>7960</v>
      </c>
      <c r="S474">
        <f ca="1">OFFSET(Ground!$A$2,Volume!Q474,1)</f>
        <v>613.731136</v>
      </c>
      <c r="T474">
        <f ca="1">OFFSET(Ground!$A$2,Volume!Q474+1,0)</f>
        <v>7990</v>
      </c>
      <c r="U474">
        <f ca="1">OFFSET(Ground!$A$2,Volume!Q474+1,1)</f>
        <v>613.500752</v>
      </c>
      <c r="V474" s="26"/>
      <c r="W474">
        <f t="shared" si="117"/>
        <v>-131.47933587319318</v>
      </c>
      <c r="X474">
        <f>IF(Volume!W474&lt;'Temp Calcs'!$E$8,1,0)</f>
        <v>1</v>
      </c>
      <c r="Z474">
        <f t="shared" si="118"/>
        <v>130.61834780205592</v>
      </c>
      <c r="AA474">
        <f>IF(Volume!Z474&gt;'Temp Calcs'!$L$8,1,0)</f>
        <v>1</v>
      </c>
      <c r="AB474" s="8"/>
      <c r="AC474" s="7"/>
    </row>
    <row r="475" spans="1:29" ht="12.75">
      <c r="A475" s="1">
        <v>474</v>
      </c>
      <c r="C475" s="7">
        <f t="shared" si="126"/>
        <v>7967</v>
      </c>
      <c r="D475" s="8">
        <f t="shared" si="124"/>
        <v>613.5608426306161</v>
      </c>
      <c r="E475" s="7">
        <f t="shared" si="127"/>
        <v>-1.089721382633014</v>
      </c>
      <c r="F475" s="7"/>
      <c r="G475">
        <f t="shared" si="128"/>
        <v>613.6773797333333</v>
      </c>
      <c r="H475" s="8">
        <f t="shared" si="129"/>
        <v>-0.11653710271718865</v>
      </c>
      <c r="I475" s="30">
        <f>IF(H475&lt;1,(Data!$G$16+14+0.8*Data!$G$17+Data!$G$18*(1-H475))*(1-H475),(Data!$G$16+6+Data!$G$17*(H475-0.6))*(H475-0.6))</f>
        <v>32.86311939739572</v>
      </c>
      <c r="J475" s="28">
        <f t="shared" si="116"/>
        <v>49.17327471992277</v>
      </c>
      <c r="K475" t="str">
        <f t="shared" si="130"/>
        <v>Cut</v>
      </c>
      <c r="L475" s="28">
        <f t="shared" si="131"/>
        <v>49.17327471992277</v>
      </c>
      <c r="M475" s="28">
        <f t="shared" si="132"/>
        <v>0</v>
      </c>
      <c r="N475" s="28">
        <f>SUM($L$3:L475)</f>
        <v>107002.30522815177</v>
      </c>
      <c r="O475" s="28">
        <f>SUM($M$3:M475)</f>
        <v>79470.022047077</v>
      </c>
      <c r="Q475">
        <f>MATCH(C475,Ground!$A$3:$A$1999,1)</f>
        <v>133</v>
      </c>
      <c r="R475">
        <f ca="1">OFFSET(Ground!$A$2,Volume!Q475,0)</f>
        <v>7960</v>
      </c>
      <c r="S475">
        <f ca="1">OFFSET(Ground!$A$2,Volume!Q475,1)</f>
        <v>613.731136</v>
      </c>
      <c r="T475">
        <f ca="1">OFFSET(Ground!$A$2,Volume!Q475+1,0)</f>
        <v>7990</v>
      </c>
      <c r="U475">
        <f ca="1">OFFSET(Ground!$A$2,Volume!Q475+1,1)</f>
        <v>613.500752</v>
      </c>
      <c r="V475" s="26"/>
      <c r="W475">
        <f t="shared" si="117"/>
        <v>-131.74418019542193</v>
      </c>
      <c r="X475">
        <f>IF(Volume!W475&lt;'Temp Calcs'!$E$8,1,0)</f>
        <v>1</v>
      </c>
      <c r="Z475">
        <f t="shared" si="118"/>
        <v>130.88216341106374</v>
      </c>
      <c r="AA475">
        <f>IF(Volume!Z475&gt;'Temp Calcs'!$L$8,1,0)</f>
        <v>1</v>
      </c>
      <c r="AB475" s="8"/>
      <c r="AC475" s="7"/>
    </row>
    <row r="476" spans="1:29" ht="12.75">
      <c r="A476" s="1">
        <v>475</v>
      </c>
      <c r="C476" s="7">
        <f t="shared" si="126"/>
        <v>7968.5</v>
      </c>
      <c r="D476" s="8">
        <f t="shared" si="124"/>
        <v>613.5447836874758</v>
      </c>
      <c r="E476" s="7">
        <f t="shared" si="127"/>
        <v>-1.0514710360657347</v>
      </c>
      <c r="F476" s="7"/>
      <c r="G476">
        <f t="shared" si="128"/>
        <v>613.6658605333333</v>
      </c>
      <c r="H476" s="8">
        <f t="shared" si="129"/>
        <v>-0.12107684585748757</v>
      </c>
      <c r="I476" s="30">
        <f>IF(H476&lt;1,(Data!$G$16+14+0.8*Data!$G$17+Data!$G$18*(1-H476))*(1-H476),(Data!$G$16+6+Data!$G$17*(H476-0.6))*(H476-0.6))</f>
        <v>33.00691679595921</v>
      </c>
      <c r="J476" s="28">
        <f t="shared" si="116"/>
        <v>49.4025271450162</v>
      </c>
      <c r="K476" t="str">
        <f t="shared" si="130"/>
        <v>Cut</v>
      </c>
      <c r="L476" s="28">
        <f t="shared" si="131"/>
        <v>49.4025271450162</v>
      </c>
      <c r="M476" s="28">
        <f t="shared" si="132"/>
        <v>0</v>
      </c>
      <c r="N476" s="28">
        <f>SUM($L$3:L476)</f>
        <v>107051.7077552968</v>
      </c>
      <c r="O476" s="28">
        <f>SUM($M$3:M476)</f>
        <v>79470.022047077</v>
      </c>
      <c r="Q476">
        <f>MATCH(C476,Ground!$A$3:$A$1999,1)</f>
        <v>133</v>
      </c>
      <c r="R476">
        <f ca="1">OFFSET(Ground!$A$2,Volume!Q476,0)</f>
        <v>7960</v>
      </c>
      <c r="S476">
        <f ca="1">OFFSET(Ground!$A$2,Volume!Q476,1)</f>
        <v>613.731136</v>
      </c>
      <c r="T476">
        <f ca="1">OFFSET(Ground!$A$2,Volume!Q476+1,0)</f>
        <v>7990</v>
      </c>
      <c r="U476">
        <f ca="1">OFFSET(Ground!$A$2,Volume!Q476+1,1)</f>
        <v>613.500752</v>
      </c>
      <c r="V476" s="26"/>
      <c r="W476">
        <f t="shared" si="117"/>
        <v>-132.00421101503647</v>
      </c>
      <c r="X476">
        <f>IF(Volume!W476&lt;'Temp Calcs'!$E$8,1,0)</f>
        <v>1</v>
      </c>
      <c r="Z476">
        <f t="shared" si="118"/>
        <v>131.14119866837132</v>
      </c>
      <c r="AA476">
        <f>IF(Volume!Z476&gt;'Temp Calcs'!$L$8,1,0)</f>
        <v>1</v>
      </c>
      <c r="AB476" s="8"/>
      <c r="AC476" s="7"/>
    </row>
    <row r="477" spans="1:29" ht="12.75">
      <c r="A477" s="1">
        <v>476</v>
      </c>
      <c r="C477" s="7">
        <f t="shared" si="126"/>
        <v>7970</v>
      </c>
      <c r="D477" s="8">
        <f t="shared" si="124"/>
        <v>613.5292984995341</v>
      </c>
      <c r="E477" s="7">
        <f t="shared" si="127"/>
        <v>-1.0132206894984557</v>
      </c>
      <c r="F477" s="7"/>
      <c r="G477">
        <f t="shared" si="128"/>
        <v>613.6543413333334</v>
      </c>
      <c r="H477" s="8">
        <f t="shared" si="129"/>
        <v>-0.12504283379928438</v>
      </c>
      <c r="I477" s="30">
        <f>IF(H477&lt;1,(Data!$G$16+14+0.8*Data!$G$17+Data!$G$18*(1-H477))*(1-H477),(Data!$G$16+6+Data!$G$17*(H477-0.6))*(H477-0.6))</f>
        <v>33.13260783510678</v>
      </c>
      <c r="J477" s="28">
        <f t="shared" si="116"/>
        <v>49.6046434732995</v>
      </c>
      <c r="K477" t="str">
        <f t="shared" si="130"/>
        <v>Cut</v>
      </c>
      <c r="L477" s="28">
        <f t="shared" si="131"/>
        <v>49.6046434732995</v>
      </c>
      <c r="M477" s="28">
        <f t="shared" si="132"/>
        <v>0</v>
      </c>
      <c r="N477" s="28">
        <f>SUM($L$3:L477)</f>
        <v>107101.3123987701</v>
      </c>
      <c r="O477" s="28">
        <f>SUM($M$3:M477)</f>
        <v>79470.022047077</v>
      </c>
      <c r="Q477">
        <f>MATCH(C477,Ground!$A$3:$A$1999,1)</f>
        <v>133</v>
      </c>
      <c r="R477">
        <f ca="1">OFFSET(Ground!$A$2,Volume!Q477,0)</f>
        <v>7960</v>
      </c>
      <c r="S477">
        <f ca="1">OFFSET(Ground!$A$2,Volume!Q477,1)</f>
        <v>613.731136</v>
      </c>
      <c r="T477">
        <f ca="1">OFFSET(Ground!$A$2,Volume!Q477+1,0)</f>
        <v>7990</v>
      </c>
      <c r="U477">
        <f ca="1">OFFSET(Ground!$A$2,Volume!Q477+1,1)</f>
        <v>613.500752</v>
      </c>
      <c r="V477" s="26"/>
      <c r="W477">
        <f t="shared" si="117"/>
        <v>-132.25937941081895</v>
      </c>
      <c r="X477">
        <f>IF(Volume!W477&lt;'Temp Calcs'!$E$8,1,0)</f>
        <v>1</v>
      </c>
      <c r="Z477">
        <f t="shared" si="118"/>
        <v>131.3954048911265</v>
      </c>
      <c r="AA477">
        <f>IF(Volume!Z477&gt;'Temp Calcs'!$L$8,1,0)</f>
        <v>1</v>
      </c>
      <c r="AB477" s="8"/>
      <c r="AC477" s="7"/>
    </row>
    <row r="478" spans="1:29" ht="12.75">
      <c r="A478" s="1">
        <v>477</v>
      </c>
      <c r="C478" s="7">
        <f t="shared" si="126"/>
        <v>7971.5</v>
      </c>
      <c r="D478" s="8">
        <f t="shared" si="124"/>
        <v>613.5143870667908</v>
      </c>
      <c r="E478" s="7">
        <f t="shared" si="127"/>
        <v>-0.9749703429311766</v>
      </c>
      <c r="F478" s="7"/>
      <c r="G478">
        <f t="shared" si="128"/>
        <v>613.6428221333333</v>
      </c>
      <c r="H478" s="8">
        <f t="shared" si="129"/>
        <v>-0.1284350665424654</v>
      </c>
      <c r="I478" s="30">
        <f>IF(H478&lt;1,(Data!$G$16+14+0.8*Data!$G$17+Data!$G$18*(1-H478))*(1-H478),(Data!$G$16+6+Data!$G$17*(H478-0.6))*(H478-0.6))</f>
        <v>33.24016520876045</v>
      </c>
      <c r="J478" s="28">
        <f t="shared" si="116"/>
        <v>49.77957978290042</v>
      </c>
      <c r="K478" t="str">
        <f t="shared" si="130"/>
        <v>Cut</v>
      </c>
      <c r="L478" s="28">
        <f t="shared" si="131"/>
        <v>49.77957978290042</v>
      </c>
      <c r="M478" s="28">
        <f t="shared" si="132"/>
        <v>0</v>
      </c>
      <c r="N478" s="28">
        <f>SUM($L$3:L478)</f>
        <v>107151.091978553</v>
      </c>
      <c r="O478" s="28">
        <f>SUM($M$3:M478)</f>
        <v>79470.022047077</v>
      </c>
      <c r="Q478">
        <f>MATCH(C478,Ground!$A$3:$A$1999,1)</f>
        <v>133</v>
      </c>
      <c r="R478">
        <f ca="1">OFFSET(Ground!$A$2,Volume!Q478,0)</f>
        <v>7960</v>
      </c>
      <c r="S478">
        <f ca="1">OFFSET(Ground!$A$2,Volume!Q478,1)</f>
        <v>613.731136</v>
      </c>
      <c r="T478">
        <f ca="1">OFFSET(Ground!$A$2,Volume!Q478+1,0)</f>
        <v>7990</v>
      </c>
      <c r="U478">
        <f ca="1">OFFSET(Ground!$A$2,Volume!Q478+1,1)</f>
        <v>613.500752</v>
      </c>
      <c r="V478" s="26"/>
      <c r="W478">
        <f t="shared" si="117"/>
        <v>-132.5096374455727</v>
      </c>
      <c r="X478">
        <f>IF(Volume!W478&lt;'Temp Calcs'!$E$8,1,0)</f>
        <v>1</v>
      </c>
      <c r="Z478">
        <f t="shared" si="118"/>
        <v>131.6447343732977</v>
      </c>
      <c r="AA478">
        <f>IF(Volume!Z478&gt;'Temp Calcs'!$L$8,1,0)</f>
        <v>1</v>
      </c>
      <c r="AB478" s="8"/>
      <c r="AC478" s="7"/>
    </row>
    <row r="479" spans="1:29" ht="12.75">
      <c r="A479" s="1">
        <v>478</v>
      </c>
      <c r="C479" s="7">
        <f t="shared" si="126"/>
        <v>7973</v>
      </c>
      <c r="D479" s="8">
        <f t="shared" si="124"/>
        <v>613.5000493892462</v>
      </c>
      <c r="E479" s="7">
        <f t="shared" si="127"/>
        <v>-0.9367199963638972</v>
      </c>
      <c r="F479" s="7"/>
      <c r="G479">
        <f t="shared" si="128"/>
        <v>613.6313029333334</v>
      </c>
      <c r="H479" s="8">
        <f t="shared" si="129"/>
        <v>-0.1312535440871443</v>
      </c>
      <c r="I479" s="30">
        <f>IF(H479&lt;1,(Data!$G$16+14+0.8*Data!$G$17+Data!$G$18*(1-H479))*(1-H479),(Data!$G$16+6+Data!$G$17*(H479-0.6))*(H479-0.6))</f>
        <v>33.329565561189774</v>
      </c>
      <c r="J479" s="28">
        <f t="shared" si="116"/>
        <v>49.927298077462666</v>
      </c>
      <c r="K479" t="str">
        <f t="shared" si="130"/>
        <v>Cut</v>
      </c>
      <c r="L479" s="28">
        <f t="shared" si="131"/>
        <v>49.927298077462666</v>
      </c>
      <c r="M479" s="28">
        <f t="shared" si="132"/>
        <v>0</v>
      </c>
      <c r="N479" s="28">
        <f>SUM($L$3:L479)</f>
        <v>107201.01927663047</v>
      </c>
      <c r="O479" s="28">
        <f>SUM($M$3:M479)</f>
        <v>79470.022047077</v>
      </c>
      <c r="Q479">
        <f>MATCH(C479,Ground!$A$3:$A$1999,1)</f>
        <v>133</v>
      </c>
      <c r="R479">
        <f ca="1">OFFSET(Ground!$A$2,Volume!Q479,0)</f>
        <v>7960</v>
      </c>
      <c r="S479">
        <f ca="1">OFFSET(Ground!$A$2,Volume!Q479,1)</f>
        <v>613.731136</v>
      </c>
      <c r="T479">
        <f ca="1">OFFSET(Ground!$A$2,Volume!Q479+1,0)</f>
        <v>7990</v>
      </c>
      <c r="U479">
        <f ca="1">OFFSET(Ground!$A$2,Volume!Q479+1,1)</f>
        <v>613.500752</v>
      </c>
      <c r="V479" s="26"/>
      <c r="W479">
        <f t="shared" si="117"/>
        <v>-132.75493819146243</v>
      </c>
      <c r="X479">
        <f>IF(Volume!W479&lt;'Temp Calcs'!$E$8,1,0)</f>
        <v>1</v>
      </c>
      <c r="Z479">
        <f t="shared" si="118"/>
        <v>131.889140410878</v>
      </c>
      <c r="AA479">
        <f>IF(Volume!Z479&gt;'Temp Calcs'!$L$8,1,0)</f>
        <v>1</v>
      </c>
      <c r="AB479" s="8"/>
      <c r="AC479" s="7"/>
    </row>
    <row r="480" spans="1:29" ht="12.75">
      <c r="A480" s="1">
        <v>479</v>
      </c>
      <c r="C480" s="7">
        <f t="shared" si="126"/>
        <v>7974.5</v>
      </c>
      <c r="D480" s="8">
        <f t="shared" si="124"/>
        <v>613.4862854669</v>
      </c>
      <c r="E480" s="7">
        <f t="shared" si="127"/>
        <v>-0.898469649796618</v>
      </c>
      <c r="F480" s="7"/>
      <c r="G480">
        <f t="shared" si="128"/>
        <v>613.6197837333333</v>
      </c>
      <c r="H480" s="8">
        <f t="shared" si="129"/>
        <v>-0.13349826643332108</v>
      </c>
      <c r="I480" s="30">
        <f>IF(H480&lt;1,(Data!$G$16+14+0.8*Data!$G$17+Data!$G$18*(1-H480))*(1-H480),(Data!$G$16+6+Data!$G$17*(H480-0.6))*(H480-0.6))</f>
        <v>33.40078948700102</v>
      </c>
      <c r="J480" s="28">
        <f t="shared" si="116"/>
        <v>50.0477662861431</v>
      </c>
      <c r="K480" t="str">
        <f t="shared" si="130"/>
        <v>Cut</v>
      </c>
      <c r="L480" s="28">
        <f t="shared" si="131"/>
        <v>50.0477662861431</v>
      </c>
      <c r="M480" s="28">
        <f t="shared" si="132"/>
        <v>0</v>
      </c>
      <c r="N480" s="28">
        <f>SUM($L$3:L480)</f>
        <v>107251.0670429166</v>
      </c>
      <c r="O480" s="28">
        <f>SUM($M$3:M480)</f>
        <v>79470.022047077</v>
      </c>
      <c r="Q480">
        <f>MATCH(C480,Ground!$A$3:$A$1999,1)</f>
        <v>133</v>
      </c>
      <c r="R480">
        <f ca="1">OFFSET(Ground!$A$2,Volume!Q480,0)</f>
        <v>7960</v>
      </c>
      <c r="S480">
        <f ca="1">OFFSET(Ground!$A$2,Volume!Q480,1)</f>
        <v>613.731136</v>
      </c>
      <c r="T480">
        <f ca="1">OFFSET(Ground!$A$2,Volume!Q480+1,0)</f>
        <v>7990</v>
      </c>
      <c r="U480">
        <f ca="1">OFFSET(Ground!$A$2,Volume!Q480+1,1)</f>
        <v>613.500752</v>
      </c>
      <c r="V480" s="26"/>
      <c r="W480">
        <f t="shared" si="117"/>
        <v>-132.9952357548993</v>
      </c>
      <c r="X480">
        <f>IF(Volume!W480&lt;'Temp Calcs'!$E$8,1,0)</f>
        <v>1</v>
      </c>
      <c r="Z480">
        <f t="shared" si="118"/>
        <v>132.1285773266381</v>
      </c>
      <c r="AA480">
        <f>IF(Volume!Z480&gt;'Temp Calcs'!$L$8,1,0)</f>
        <v>1</v>
      </c>
      <c r="AB480" s="8"/>
      <c r="AC480" s="7"/>
    </row>
    <row r="481" spans="1:29" ht="12.75">
      <c r="A481" s="1">
        <v>480</v>
      </c>
      <c r="C481" s="7">
        <f t="shared" si="126"/>
        <v>7976</v>
      </c>
      <c r="D481" s="8">
        <f t="shared" si="124"/>
        <v>613.4730952997522</v>
      </c>
      <c r="E481" s="7">
        <f t="shared" si="127"/>
        <v>-0.860219303229339</v>
      </c>
      <c r="F481" s="7"/>
      <c r="G481">
        <f t="shared" si="128"/>
        <v>613.6082645333333</v>
      </c>
      <c r="H481" s="8">
        <f t="shared" si="129"/>
        <v>-0.13516923358110944</v>
      </c>
      <c r="I481" s="30">
        <f>IF(H481&lt;1,(Data!$G$16+14+0.8*Data!$G$17+Data!$G$18*(1-H481))*(1-H481),(Data!$G$16+6+Data!$G$17*(H481-0.6))*(H481-0.6))</f>
        <v>33.45382153114442</v>
      </c>
      <c r="J481" s="28">
        <f t="shared" si="116"/>
        <v>50.140958263609086</v>
      </c>
      <c r="K481" t="str">
        <f t="shared" si="130"/>
        <v>Cut</v>
      </c>
      <c r="L481" s="28">
        <f t="shared" si="131"/>
        <v>50.140958263609086</v>
      </c>
      <c r="M481" s="28">
        <f t="shared" si="132"/>
        <v>0</v>
      </c>
      <c r="N481" s="28">
        <f>SUM($L$3:L481)</f>
        <v>107301.20800118022</v>
      </c>
      <c r="O481" s="28">
        <f>SUM($M$3:M481)</f>
        <v>79470.022047077</v>
      </c>
      <c r="Q481">
        <f>MATCH(C481,Ground!$A$3:$A$1999,1)</f>
        <v>133</v>
      </c>
      <c r="R481">
        <f ca="1">OFFSET(Ground!$A$2,Volume!Q481,0)</f>
        <v>7960</v>
      </c>
      <c r="S481">
        <f ca="1">OFFSET(Ground!$A$2,Volume!Q481,1)</f>
        <v>613.731136</v>
      </c>
      <c r="T481">
        <f ca="1">OFFSET(Ground!$A$2,Volume!Q481+1,0)</f>
        <v>7990</v>
      </c>
      <c r="U481">
        <f ca="1">OFFSET(Ground!$A$2,Volume!Q481+1,1)</f>
        <v>613.500752</v>
      </c>
      <c r="V481" s="26"/>
      <c r="W481">
        <f t="shared" si="117"/>
        <v>-133.23048530092962</v>
      </c>
      <c r="X481">
        <f>IF(Volume!W481&lt;'Temp Calcs'!$E$8,1,0)</f>
        <v>1</v>
      </c>
      <c r="Z481">
        <f t="shared" si="118"/>
        <v>132.36300049438634</v>
      </c>
      <c r="AA481">
        <f>IF(Volume!Z481&gt;'Temp Calcs'!$L$8,1,0)</f>
        <v>1</v>
      </c>
      <c r="AB481" s="8"/>
      <c r="AC481" s="7"/>
    </row>
    <row r="482" spans="1:29" ht="12.75">
      <c r="A482" s="1">
        <v>481</v>
      </c>
      <c r="C482" s="7">
        <f t="shared" si="126"/>
        <v>7977.5</v>
      </c>
      <c r="D482" s="8">
        <f t="shared" si="124"/>
        <v>613.4604788878031</v>
      </c>
      <c r="E482" s="7">
        <f t="shared" si="127"/>
        <v>-0.8219689566620596</v>
      </c>
      <c r="F482" s="7"/>
      <c r="G482">
        <f t="shared" si="128"/>
        <v>613.5967453333334</v>
      </c>
      <c r="H482" s="8">
        <f t="shared" si="129"/>
        <v>-0.136266445530282</v>
      </c>
      <c r="I482" s="30">
        <f>IF(H482&lt;1,(Data!$G$16+14+0.8*Data!$G$17+Data!$G$18*(1-H482))*(1-H482),(Data!$G$16+6+Data!$G$17*(H482-0.6))*(H482-0.6))</f>
        <v>33.48865018889971</v>
      </c>
      <c r="J482" s="28">
        <f t="shared" si="116"/>
        <v>50.206853790033094</v>
      </c>
      <c r="K482" t="str">
        <f t="shared" si="130"/>
        <v>Cut</v>
      </c>
      <c r="L482" s="28">
        <f t="shared" si="131"/>
        <v>50.206853790033094</v>
      </c>
      <c r="M482" s="28">
        <f t="shared" si="132"/>
        <v>0</v>
      </c>
      <c r="N482" s="28">
        <f>SUM($L$3:L482)</f>
        <v>107351.41485497025</v>
      </c>
      <c r="O482" s="28">
        <f>SUM($M$3:M482)</f>
        <v>79470.022047077</v>
      </c>
      <c r="Q482">
        <f>MATCH(C482,Ground!$A$3:$A$1999,1)</f>
        <v>133</v>
      </c>
      <c r="R482">
        <f ca="1">OFFSET(Ground!$A$2,Volume!Q482,0)</f>
        <v>7960</v>
      </c>
      <c r="S482">
        <f ca="1">OFFSET(Ground!$A$2,Volume!Q482,1)</f>
        <v>613.731136</v>
      </c>
      <c r="T482">
        <f ca="1">OFFSET(Ground!$A$2,Volume!Q482+1,0)</f>
        <v>7990</v>
      </c>
      <c r="U482">
        <f ca="1">OFFSET(Ground!$A$2,Volume!Q482+1,1)</f>
        <v>613.500752</v>
      </c>
      <c r="V482" s="26"/>
      <c r="W482">
        <f t="shared" si="117"/>
        <v>-133.46064307712254</v>
      </c>
      <c r="X482">
        <f>IF(Volume!W482&lt;'Temp Calcs'!$E$8,1,0)</f>
        <v>1</v>
      </c>
      <c r="Z482">
        <f t="shared" si="118"/>
        <v>132.5923663627324</v>
      </c>
      <c r="AA482">
        <f>IF(Volume!Z482&gt;'Temp Calcs'!$L$8,1,0)</f>
        <v>1</v>
      </c>
      <c r="AB482" s="8"/>
      <c r="AC482" s="7"/>
    </row>
    <row r="483" spans="1:29" ht="12.75">
      <c r="A483" s="1">
        <v>482</v>
      </c>
      <c r="C483" s="7">
        <f t="shared" si="126"/>
        <v>7979</v>
      </c>
      <c r="D483" s="8">
        <f t="shared" si="124"/>
        <v>613.4484362310525</v>
      </c>
      <c r="E483" s="7">
        <f t="shared" si="127"/>
        <v>-0.7837186100947806</v>
      </c>
      <c r="F483" s="7"/>
      <c r="G483">
        <f t="shared" si="128"/>
        <v>613.5852261333333</v>
      </c>
      <c r="H483" s="8">
        <f t="shared" si="129"/>
        <v>-0.13678990228083876</v>
      </c>
      <c r="I483" s="30">
        <f>IF(H483&lt;1,(Data!$G$16+14+0.8*Data!$G$17+Data!$G$18*(1-H483))*(1-H483),(Data!$G$16+6+Data!$G$17*(H483-0.6))*(H483-0.6))</f>
        <v>33.50526790589417</v>
      </c>
      <c r="J483" s="28">
        <f t="shared" si="116"/>
        <v>50.24543857109541</v>
      </c>
      <c r="K483" t="str">
        <f t="shared" si="130"/>
        <v>Cut</v>
      </c>
      <c r="L483" s="28">
        <f t="shared" si="131"/>
        <v>50.24543857109541</v>
      </c>
      <c r="M483" s="28">
        <f t="shared" si="132"/>
        <v>0</v>
      </c>
      <c r="N483" s="28">
        <f>SUM($L$3:L483)</f>
        <v>107401.66029354135</v>
      </c>
      <c r="O483" s="28">
        <f>SUM($M$3:M483)</f>
        <v>79470.022047077</v>
      </c>
      <c r="Q483">
        <f>MATCH(C483,Ground!$A$3:$A$1999,1)</f>
        <v>133</v>
      </c>
      <c r="R483">
        <f ca="1">OFFSET(Ground!$A$2,Volume!Q483,0)</f>
        <v>7960</v>
      </c>
      <c r="S483">
        <f ca="1">OFFSET(Ground!$A$2,Volume!Q483,1)</f>
        <v>613.731136</v>
      </c>
      <c r="T483">
        <f ca="1">OFFSET(Ground!$A$2,Volume!Q483+1,0)</f>
        <v>7990</v>
      </c>
      <c r="U483">
        <f ca="1">OFFSET(Ground!$A$2,Volume!Q483+1,1)</f>
        <v>613.500752</v>
      </c>
      <c r="V483" s="26"/>
      <c r="W483">
        <f t="shared" si="117"/>
        <v>-133.68566643692253</v>
      </c>
      <c r="X483">
        <f>IF(Volume!W483&lt;'Temp Calcs'!$E$8,1,0)</f>
        <v>1</v>
      </c>
      <c r="Z483">
        <f t="shared" si="118"/>
        <v>132.8166324783187</v>
      </c>
      <c r="AA483">
        <f>IF(Volume!Z483&gt;'Temp Calcs'!$L$8,1,0)</f>
        <v>1</v>
      </c>
      <c r="AB483" s="8"/>
      <c r="AC483" s="7"/>
    </row>
    <row r="484" spans="1:29" ht="12.75">
      <c r="A484" s="1">
        <v>483</v>
      </c>
      <c r="C484" s="7">
        <f t="shared" si="126"/>
        <v>7980.5</v>
      </c>
      <c r="D484" s="8">
        <f t="shared" si="124"/>
        <v>613.4369673295002</v>
      </c>
      <c r="E484" s="7">
        <f t="shared" si="127"/>
        <v>-0.7454682635275012</v>
      </c>
      <c r="F484" s="7"/>
      <c r="G484">
        <f t="shared" si="128"/>
        <v>613.5737069333334</v>
      </c>
      <c r="H484" s="8">
        <f t="shared" si="129"/>
        <v>-0.13673960383312078</v>
      </c>
      <c r="I484" s="30">
        <f>IF(H484&lt;1,(Data!$G$16+14+0.8*Data!$G$17+Data!$G$18*(1-H484))*(1-H484),(Data!$G$16+6+Data!$G$17*(H484-0.6))*(H484-0.6))</f>
        <v>33.503671078106244</v>
      </c>
      <c r="J484" s="28">
        <f aca="true" t="shared" si="133" ref="J484:J502">(I484+I483)/2*(C484-C483)</f>
        <v>50.25670423800032</v>
      </c>
      <c r="K484" t="str">
        <f t="shared" si="130"/>
        <v>Cut</v>
      </c>
      <c r="L484" s="28">
        <f t="shared" si="131"/>
        <v>50.25670423800032</v>
      </c>
      <c r="M484" s="28">
        <f t="shared" si="132"/>
        <v>0</v>
      </c>
      <c r="N484" s="28">
        <f>SUM($L$3:L484)</f>
        <v>107451.91699777935</v>
      </c>
      <c r="O484" s="28">
        <f>SUM($M$3:M484)</f>
        <v>79470.022047077</v>
      </c>
      <c r="Q484">
        <f>MATCH(C484,Ground!$A$3:$A$1999,1)</f>
        <v>133</v>
      </c>
      <c r="R484">
        <f ca="1">OFFSET(Ground!$A$2,Volume!Q484,0)</f>
        <v>7960</v>
      </c>
      <c r="S484">
        <f ca="1">OFFSET(Ground!$A$2,Volume!Q484,1)</f>
        <v>613.731136</v>
      </c>
      <c r="T484">
        <f ca="1">OFFSET(Ground!$A$2,Volume!Q484+1,0)</f>
        <v>7990</v>
      </c>
      <c r="U484">
        <f ca="1">OFFSET(Ground!$A$2,Volume!Q484+1,1)</f>
        <v>613.500752</v>
      </c>
      <c r="V484" s="26"/>
      <c r="W484">
        <f t="shared" si="117"/>
        <v>-133.90551386243789</v>
      </c>
      <c r="X484">
        <f>IF(Volume!W484&lt;'Temp Calcs'!$E$8,1,0)</f>
        <v>1</v>
      </c>
      <c r="Z484">
        <f t="shared" si="118"/>
        <v>133.0357575084932</v>
      </c>
      <c r="AA484">
        <f>IF(Volume!Z484&gt;'Temp Calcs'!$L$8,1,0)</f>
        <v>1</v>
      </c>
      <c r="AB484" s="8"/>
      <c r="AC484" s="7"/>
    </row>
    <row r="485" spans="1:29" ht="12.75">
      <c r="A485" s="1">
        <v>484</v>
      </c>
      <c r="C485" s="7">
        <f t="shared" si="126"/>
        <v>7982</v>
      </c>
      <c r="D485" s="8">
        <f t="shared" si="124"/>
        <v>613.4260721831466</v>
      </c>
      <c r="E485" s="7">
        <f t="shared" si="127"/>
        <v>-0.7072179169602222</v>
      </c>
      <c r="F485" s="7"/>
      <c r="G485">
        <f t="shared" si="128"/>
        <v>613.5621877333333</v>
      </c>
      <c r="H485" s="8">
        <f t="shared" si="129"/>
        <v>-0.13611555018667332</v>
      </c>
      <c r="I485" s="30">
        <f>IF(H485&lt;1,(Data!$G$16+14+0.8*Data!$G$17+Data!$G$18*(1-H485))*(1-H485),(Data!$G$16+6+Data!$G$17*(H485-0.6))*(H485-0.6))</f>
        <v>33.483860051829446</v>
      </c>
      <c r="J485" s="28">
        <f t="shared" si="133"/>
        <v>50.24064834745177</v>
      </c>
      <c r="K485" t="str">
        <f t="shared" si="130"/>
        <v>Cut</v>
      </c>
      <c r="L485" s="28">
        <f t="shared" si="131"/>
        <v>50.24064834745177</v>
      </c>
      <c r="M485" s="28">
        <f t="shared" si="132"/>
        <v>0</v>
      </c>
      <c r="N485" s="28">
        <f>SUM($L$3:L485)</f>
        <v>107502.1576461268</v>
      </c>
      <c r="O485" s="28">
        <f>SUM($M$3:M485)</f>
        <v>79470.022047077</v>
      </c>
      <c r="Q485">
        <f>MATCH(C485,Ground!$A$3:$A$1999,1)</f>
        <v>133</v>
      </c>
      <c r="R485">
        <f ca="1">OFFSET(Ground!$A$2,Volume!Q485,0)</f>
        <v>7960</v>
      </c>
      <c r="S485">
        <f ca="1">OFFSET(Ground!$A$2,Volume!Q485,1)</f>
        <v>613.731136</v>
      </c>
      <c r="T485">
        <f ca="1">OFFSET(Ground!$A$2,Volume!Q485+1,0)</f>
        <v>7990</v>
      </c>
      <c r="U485">
        <f ca="1">OFFSET(Ground!$A$2,Volume!Q485+1,1)</f>
        <v>613.500752</v>
      </c>
      <c r="V485" s="26"/>
      <c r="W485">
        <f t="shared" si="117"/>
        <v>-134.12014498664632</v>
      </c>
      <c r="X485">
        <f>IF(Volume!W485&lt;'Temp Calcs'!$E$8,1,0)</f>
        <v>1</v>
      </c>
      <c r="Z485">
        <f t="shared" si="118"/>
        <v>133.24970126340295</v>
      </c>
      <c r="AA485">
        <f>IF(Volume!Z485&gt;'Temp Calcs'!$L$8,1,0)</f>
        <v>1</v>
      </c>
      <c r="AB485" s="8"/>
      <c r="AC485" s="7"/>
    </row>
    <row r="486" spans="1:29" ht="12.75">
      <c r="A486" s="1">
        <v>485</v>
      </c>
      <c r="C486" s="7">
        <f t="shared" si="126"/>
        <v>7983.5</v>
      </c>
      <c r="D486" s="8">
        <f t="shared" si="124"/>
        <v>613.4157507919914</v>
      </c>
      <c r="E486" s="7">
        <f t="shared" si="127"/>
        <v>-0.668967570392943</v>
      </c>
      <c r="F486" s="7"/>
      <c r="G486">
        <f t="shared" si="128"/>
        <v>613.5506685333334</v>
      </c>
      <c r="H486" s="8">
        <f t="shared" si="129"/>
        <v>-0.13491774134195111</v>
      </c>
      <c r="I486" s="30">
        <f>IF(H486&lt;1,(Data!$G$16+14+0.8*Data!$G$17+Data!$G$18*(1-H486))*(1-H486),(Data!$G$16+6+Data!$G$17*(H486-0.6))*(H486-0.6))</f>
        <v>33.4458391237265</v>
      </c>
      <c r="J486" s="28">
        <f t="shared" si="133"/>
        <v>50.197274381666965</v>
      </c>
      <c r="K486" t="str">
        <f t="shared" si="130"/>
        <v>Cut</v>
      </c>
      <c r="L486" s="28">
        <f t="shared" si="131"/>
        <v>50.197274381666965</v>
      </c>
      <c r="M486" s="28">
        <f t="shared" si="132"/>
        <v>0</v>
      </c>
      <c r="N486" s="28">
        <f>SUM($L$3:L486)</f>
        <v>107552.35492050847</v>
      </c>
      <c r="O486" s="28">
        <f>SUM($M$3:M486)</f>
        <v>79470.022047077</v>
      </c>
      <c r="Q486">
        <f>MATCH(C486,Ground!$A$3:$A$1999,1)</f>
        <v>133</v>
      </c>
      <c r="R486">
        <f ca="1">OFFSET(Ground!$A$2,Volume!Q486,0)</f>
        <v>7960</v>
      </c>
      <c r="S486">
        <f ca="1">OFFSET(Ground!$A$2,Volume!Q486,1)</f>
        <v>613.731136</v>
      </c>
      <c r="T486">
        <f ca="1">OFFSET(Ground!$A$2,Volume!Q486+1,0)</f>
        <v>7990</v>
      </c>
      <c r="U486">
        <f ca="1">OFFSET(Ground!$A$2,Volume!Q486+1,1)</f>
        <v>613.500752</v>
      </c>
      <c r="V486" s="26"/>
      <c r="W486">
        <f t="shared" si="117"/>
        <v>-134.3295206150063</v>
      </c>
      <c r="X486">
        <f>IF(Volume!W486&lt;'Temp Calcs'!$E$8,1,0)</f>
        <v>1</v>
      </c>
      <c r="Z486">
        <f t="shared" si="118"/>
        <v>133.45842471749802</v>
      </c>
      <c r="AA486">
        <f>IF(Volume!Z486&gt;'Temp Calcs'!$L$8,1,0)</f>
        <v>1</v>
      </c>
      <c r="AB486" s="8"/>
      <c r="AC486" s="7"/>
    </row>
    <row r="487" spans="1:29" ht="12.75">
      <c r="A487" s="1">
        <v>486</v>
      </c>
      <c r="C487" s="7">
        <f t="shared" si="126"/>
        <v>7985</v>
      </c>
      <c r="D487" s="8">
        <f t="shared" si="124"/>
        <v>613.4060031560348</v>
      </c>
      <c r="E487" s="7">
        <f t="shared" si="127"/>
        <v>-0.6307172238256635</v>
      </c>
      <c r="F487" s="7"/>
      <c r="G487">
        <f t="shared" si="128"/>
        <v>613.5391493333334</v>
      </c>
      <c r="H487" s="8">
        <f t="shared" si="129"/>
        <v>-0.1331461772986131</v>
      </c>
      <c r="I487" s="30">
        <f>IF(H487&lt;1,(Data!$G$16+14+0.8*Data!$G$17+Data!$G$18*(1-H487))*(1-H487),(Data!$G$16+6+Data!$G$17*(H487-0.6))*(H487-0.6))</f>
        <v>33.389616540775194</v>
      </c>
      <c r="J487" s="28">
        <f t="shared" si="133"/>
        <v>50.12659174837627</v>
      </c>
      <c r="K487" t="str">
        <f t="shared" si="130"/>
        <v>Cut</v>
      </c>
      <c r="L487" s="28">
        <f t="shared" si="131"/>
        <v>50.12659174837627</v>
      </c>
      <c r="M487" s="28">
        <f t="shared" si="132"/>
        <v>0</v>
      </c>
      <c r="N487" s="28">
        <f>SUM($L$3:L487)</f>
        <v>107602.48151225685</v>
      </c>
      <c r="O487" s="28">
        <f>SUM($M$3:M487)</f>
        <v>79470.022047077</v>
      </c>
      <c r="Q487">
        <f>MATCH(C487,Ground!$A$3:$A$1999,1)</f>
        <v>133</v>
      </c>
      <c r="R487">
        <f ca="1">OFFSET(Ground!$A$2,Volume!Q487,0)</f>
        <v>7960</v>
      </c>
      <c r="S487">
        <f ca="1">OFFSET(Ground!$A$2,Volume!Q487,1)</f>
        <v>613.731136</v>
      </c>
      <c r="T487">
        <f ca="1">OFFSET(Ground!$A$2,Volume!Q487+1,0)</f>
        <v>7990</v>
      </c>
      <c r="U487">
        <f ca="1">OFFSET(Ground!$A$2,Volume!Q487+1,1)</f>
        <v>613.500752</v>
      </c>
      <c r="V487" s="26"/>
      <c r="W487">
        <f t="shared" si="117"/>
        <v>-134.53360274642364</v>
      </c>
      <c r="X487">
        <f>IF(Volume!W487&lt;'Temp Calcs'!$E$8,1,0)</f>
        <v>1</v>
      </c>
      <c r="Z487">
        <f t="shared" si="118"/>
        <v>133.66189003039543</v>
      </c>
      <c r="AA487">
        <f>IF(Volume!Z487&gt;'Temp Calcs'!$L$8,1,0)</f>
        <v>1</v>
      </c>
      <c r="AB487" s="8"/>
      <c r="AC487" s="7"/>
    </row>
    <row r="488" spans="1:29" ht="12.75">
      <c r="A488" s="1">
        <v>487</v>
      </c>
      <c r="C488" s="7">
        <f t="shared" si="126"/>
        <v>7986.5</v>
      </c>
      <c r="D488" s="8">
        <f t="shared" si="124"/>
        <v>613.3968292752767</v>
      </c>
      <c r="E488" s="7">
        <f t="shared" si="127"/>
        <v>-0.5924668772583845</v>
      </c>
      <c r="F488" s="7"/>
      <c r="G488">
        <f t="shared" si="128"/>
        <v>613.5276301333333</v>
      </c>
      <c r="H488" s="8">
        <f t="shared" si="129"/>
        <v>-0.1308008580566593</v>
      </c>
      <c r="I488" s="30">
        <f>IF(H488&lt;1,(Data!$G$16+14+0.8*Data!$G$17+Data!$G$18*(1-H488))*(1-H488),(Data!$G$16+6+Data!$G$17*(H488-0.6))*(H488-0.6))</f>
        <v>33.31520450030449</v>
      </c>
      <c r="J488" s="28">
        <f t="shared" si="133"/>
        <v>50.02861578080976</v>
      </c>
      <c r="K488" t="str">
        <f t="shared" si="130"/>
        <v>Cut</v>
      </c>
      <c r="L488" s="28">
        <f t="shared" si="131"/>
        <v>50.02861578080976</v>
      </c>
      <c r="M488" s="28">
        <f t="shared" si="132"/>
        <v>0</v>
      </c>
      <c r="N488" s="28">
        <f>SUM($L$3:L488)</f>
        <v>107652.51012803767</v>
      </c>
      <c r="O488" s="28">
        <f>SUM($M$3:M488)</f>
        <v>79470.022047077</v>
      </c>
      <c r="Q488">
        <f>MATCH(C488,Ground!$A$3:$A$1999,1)</f>
        <v>133</v>
      </c>
      <c r="R488">
        <f ca="1">OFFSET(Ground!$A$2,Volume!Q488,0)</f>
        <v>7960</v>
      </c>
      <c r="S488">
        <f ca="1">OFFSET(Ground!$A$2,Volume!Q488,1)</f>
        <v>613.731136</v>
      </c>
      <c r="T488">
        <f ca="1">OFFSET(Ground!$A$2,Volume!Q488+1,0)</f>
        <v>7990</v>
      </c>
      <c r="U488">
        <f ca="1">OFFSET(Ground!$A$2,Volume!Q488+1,1)</f>
        <v>613.500752</v>
      </c>
      <c r="V488" s="26"/>
      <c r="W488">
        <f t="shared" si="117"/>
        <v>-134.73235459358574</v>
      </c>
      <c r="X488">
        <f>IF(Volume!W488&lt;'Temp Calcs'!$E$8,1,0)</f>
        <v>1</v>
      </c>
      <c r="Z488">
        <f t="shared" si="118"/>
        <v>133.86006056711514</v>
      </c>
      <c r="AA488">
        <f>IF(Volume!Z488&gt;'Temp Calcs'!$L$8,1,0)</f>
        <v>1</v>
      </c>
      <c r="AB488" s="8"/>
      <c r="AC488" s="7"/>
    </row>
    <row r="489" spans="1:29" ht="12.75">
      <c r="A489" s="1">
        <v>488</v>
      </c>
      <c r="C489" s="7">
        <f t="shared" si="126"/>
        <v>7988</v>
      </c>
      <c r="D489" s="8">
        <f t="shared" si="124"/>
        <v>613.3882291497171</v>
      </c>
      <c r="E489" s="7">
        <f t="shared" si="127"/>
        <v>-0.5542165306911053</v>
      </c>
      <c r="F489" s="7"/>
      <c r="G489">
        <f t="shared" si="128"/>
        <v>613.5161109333334</v>
      </c>
      <c r="H489" s="8">
        <f t="shared" si="129"/>
        <v>-0.12788178361631708</v>
      </c>
      <c r="I489" s="30">
        <f>IF(H489&lt;1,(Data!$G$16+14+0.8*Data!$G$17+Data!$G$18*(1-H489))*(1-H489),(Data!$G$16+6+Data!$G$17*(H489-0.6))*(H489-0.6))</f>
        <v>33.22261914999088</v>
      </c>
      <c r="J489" s="28">
        <f t="shared" si="133"/>
        <v>49.903367737721524</v>
      </c>
      <c r="K489" t="str">
        <f t="shared" si="130"/>
        <v>Cut</v>
      </c>
      <c r="L489" s="28">
        <f t="shared" si="131"/>
        <v>49.903367737721524</v>
      </c>
      <c r="M489" s="28">
        <f t="shared" si="132"/>
        <v>0</v>
      </c>
      <c r="N489" s="28">
        <f>SUM($L$3:L489)</f>
        <v>107702.41349577538</v>
      </c>
      <c r="O489" s="28">
        <f>SUM($M$3:M489)</f>
        <v>79470.022047077</v>
      </c>
      <c r="Q489">
        <f>MATCH(C489,Ground!$A$3:$A$1999,1)</f>
        <v>133</v>
      </c>
      <c r="R489">
        <f ca="1">OFFSET(Ground!$A$2,Volume!Q489,0)</f>
        <v>7960</v>
      </c>
      <c r="S489">
        <f ca="1">OFFSET(Ground!$A$2,Volume!Q489,1)</f>
        <v>613.731136</v>
      </c>
      <c r="T489">
        <f ca="1">OFFSET(Ground!$A$2,Volume!Q489+1,0)</f>
        <v>7990</v>
      </c>
      <c r="U489">
        <f ca="1">OFFSET(Ground!$A$2,Volume!Q489+1,1)</f>
        <v>613.500752</v>
      </c>
      <c r="V489" s="26"/>
      <c r="W489">
        <f t="shared" si="117"/>
        <v>-134.92574060261234</v>
      </c>
      <c r="X489">
        <f>IF(Volume!W489&lt;'Temp Calcs'!$E$8,1,0)</f>
        <v>1</v>
      </c>
      <c r="Z489">
        <f t="shared" si="118"/>
        <v>134.05290091763757</v>
      </c>
      <c r="AA489">
        <f>IF(Volume!Z489&gt;'Temp Calcs'!$L$8,1,0)</f>
        <v>1</v>
      </c>
      <c r="AB489" s="8"/>
      <c r="AC489" s="7"/>
    </row>
    <row r="490" spans="1:29" ht="12.75">
      <c r="A490" s="1">
        <v>489</v>
      </c>
      <c r="C490" s="7">
        <f t="shared" si="126"/>
        <v>7989.5</v>
      </c>
      <c r="D490" s="8">
        <f t="shared" si="124"/>
        <v>613.380202779356</v>
      </c>
      <c r="E490" s="7">
        <f t="shared" si="127"/>
        <v>-0.5159661841238261</v>
      </c>
      <c r="F490" s="7"/>
      <c r="G490">
        <f t="shared" si="128"/>
        <v>613.5045917333333</v>
      </c>
      <c r="H490" s="8">
        <f t="shared" si="129"/>
        <v>-0.12438895397735905</v>
      </c>
      <c r="I490" s="30">
        <f>IF(H490&lt;1,(Data!$G$16+14+0.8*Data!$G$17+Data!$G$18*(1-H490))*(1-H490),(Data!$G$16+6+Data!$G$17*(H490-0.6))*(H490-0.6))</f>
        <v>33.111880587836765</v>
      </c>
      <c r="J490" s="28">
        <f t="shared" si="133"/>
        <v>49.750874803370735</v>
      </c>
      <c r="K490" t="str">
        <f t="shared" si="130"/>
        <v>Cut</v>
      </c>
      <c r="L490" s="28">
        <f t="shared" si="131"/>
        <v>49.750874803370735</v>
      </c>
      <c r="M490" s="28">
        <f t="shared" si="132"/>
        <v>0</v>
      </c>
      <c r="N490" s="28">
        <f>SUM($L$3:L490)</f>
        <v>107752.16437057876</v>
      </c>
      <c r="O490" s="28">
        <f>SUM($M$3:M490)</f>
        <v>79470.022047077</v>
      </c>
      <c r="Q490">
        <f>MATCH(C490,Ground!$A$3:$A$1999,1)</f>
        <v>133</v>
      </c>
      <c r="R490">
        <f ca="1">OFFSET(Ground!$A$2,Volume!Q490,0)</f>
        <v>7960</v>
      </c>
      <c r="S490">
        <f ca="1">OFFSET(Ground!$A$2,Volume!Q490,1)</f>
        <v>613.731136</v>
      </c>
      <c r="T490">
        <f ca="1">OFFSET(Ground!$A$2,Volume!Q490+1,0)</f>
        <v>7990</v>
      </c>
      <c r="U490">
        <f ca="1">OFFSET(Ground!$A$2,Volume!Q490+1,1)</f>
        <v>613.500752</v>
      </c>
      <c r="V490" s="26"/>
      <c r="W490">
        <f t="shared" si="117"/>
        <v>-135.11372647202063</v>
      </c>
      <c r="X490">
        <f>IF(Volume!W490&lt;'Temp Calcs'!$E$8,1,0)</f>
        <v>1</v>
      </c>
      <c r="Z490">
        <f t="shared" si="118"/>
        <v>134.24037691578047</v>
      </c>
      <c r="AA490">
        <f>IF(Volume!Z490&gt;'Temp Calcs'!$L$8,1,0)</f>
        <v>1</v>
      </c>
      <c r="AB490" s="8"/>
      <c r="AC490" s="7"/>
    </row>
    <row r="491" spans="1:29" ht="12.75">
      <c r="A491" s="1">
        <v>490</v>
      </c>
      <c r="C491" s="7">
        <f t="shared" si="126"/>
        <v>7991</v>
      </c>
      <c r="D491" s="8">
        <f t="shared" si="124"/>
        <v>613.3727501641933</v>
      </c>
      <c r="E491" s="7">
        <f t="shared" si="127"/>
        <v>-0.4777158375565469</v>
      </c>
      <c r="F491" s="7"/>
      <c r="G491">
        <f t="shared" si="128"/>
        <v>613.4964002666667</v>
      </c>
      <c r="H491" s="8">
        <f t="shared" si="129"/>
        <v>-0.1236501024733343</v>
      </c>
      <c r="I491" s="30">
        <f>IF(H491&lt;1,(Data!$G$16+14+0.8*Data!$G$17+Data!$G$18*(1-H491))*(1-H491),(Data!$G$16+6+Data!$G$17*(H491-0.6))*(H491-0.6))</f>
        <v>33.08846189285136</v>
      </c>
      <c r="J491" s="28">
        <f t="shared" si="133"/>
        <v>49.6502568605161</v>
      </c>
      <c r="K491" t="str">
        <f t="shared" si="130"/>
        <v>Cut</v>
      </c>
      <c r="L491" s="28">
        <f t="shared" si="131"/>
        <v>49.6502568605161</v>
      </c>
      <c r="M491" s="28">
        <f t="shared" si="132"/>
        <v>0</v>
      </c>
      <c r="N491" s="28">
        <f>SUM($L$3:L491)</f>
        <v>107801.81462743928</v>
      </c>
      <c r="O491" s="28">
        <f>SUM($M$3:M491)</f>
        <v>79470.022047077</v>
      </c>
      <c r="Q491">
        <f>MATCH(C491,Ground!$A$3:$A$1999,1)</f>
        <v>134</v>
      </c>
      <c r="R491">
        <f ca="1">OFFSET(Ground!$A$2,Volume!Q491,0)</f>
        <v>7990</v>
      </c>
      <c r="S491">
        <f ca="1">OFFSET(Ground!$A$2,Volume!Q491,1)</f>
        <v>613.500752</v>
      </c>
      <c r="T491">
        <f ca="1">OFFSET(Ground!$A$2,Volume!Q491+1,0)</f>
        <v>8020</v>
      </c>
      <c r="U491">
        <f ca="1">OFFSET(Ground!$A$2,Volume!Q491+1,1)</f>
        <v>613.3702</v>
      </c>
      <c r="V491" s="26"/>
      <c r="W491">
        <f t="shared" si="117"/>
        <v>-135.29627917097804</v>
      </c>
      <c r="X491">
        <f>IF(Volume!W491&lt;'Temp Calcs'!$E$8,1,0)</f>
        <v>1</v>
      </c>
      <c r="Z491">
        <f t="shared" si="118"/>
        <v>134.42245565736832</v>
      </c>
      <c r="AA491">
        <f>IF(Volume!Z491&gt;'Temp Calcs'!$L$8,1,0)</f>
        <v>1</v>
      </c>
      <c r="AB491" s="8"/>
      <c r="AC491" s="7"/>
    </row>
    <row r="492" spans="1:29" ht="12.75">
      <c r="A492" s="1">
        <v>491</v>
      </c>
      <c r="C492" s="7">
        <f t="shared" si="126"/>
        <v>7992.5</v>
      </c>
      <c r="D492" s="8">
        <f t="shared" si="124"/>
        <v>613.3658713042292</v>
      </c>
      <c r="E492" s="7">
        <f t="shared" si="127"/>
        <v>-0.4394654909892679</v>
      </c>
      <c r="F492" s="7"/>
      <c r="G492">
        <f t="shared" si="128"/>
        <v>613.4898726666667</v>
      </c>
      <c r="H492" s="8">
        <f t="shared" si="129"/>
        <v>-0.12400136243741144</v>
      </c>
      <c r="I492" s="30">
        <f>IF(H492&lt;1,(Data!$G$16+14+0.8*Data!$G$17+Data!$G$18*(1-H492))*(1-H492),(Data!$G$16+6+Data!$G$17*(H492-0.6))*(H492-0.6))</f>
        <v>33.09959518381991</v>
      </c>
      <c r="J492" s="28">
        <f t="shared" si="133"/>
        <v>49.64104280750345</v>
      </c>
      <c r="K492" t="str">
        <f t="shared" si="130"/>
        <v>Cut</v>
      </c>
      <c r="L492" s="28">
        <f t="shared" si="131"/>
        <v>49.64104280750345</v>
      </c>
      <c r="M492" s="28">
        <f t="shared" si="132"/>
        <v>0</v>
      </c>
      <c r="N492" s="28">
        <f>SUM($L$3:L492)</f>
        <v>107851.45567024678</v>
      </c>
      <c r="O492" s="28">
        <f>SUM($M$3:M492)</f>
        <v>79470.022047077</v>
      </c>
      <c r="Q492">
        <f>MATCH(C492,Ground!$A$3:$A$1999,1)</f>
        <v>134</v>
      </c>
      <c r="R492">
        <f ca="1">OFFSET(Ground!$A$2,Volume!Q492,0)</f>
        <v>7990</v>
      </c>
      <c r="S492">
        <f ca="1">OFFSET(Ground!$A$2,Volume!Q492,1)</f>
        <v>613.500752</v>
      </c>
      <c r="T492">
        <f ca="1">OFFSET(Ground!$A$2,Volume!Q492+1,0)</f>
        <v>8020</v>
      </c>
      <c r="U492">
        <f ca="1">OFFSET(Ground!$A$2,Volume!Q492+1,1)</f>
        <v>613.3702</v>
      </c>
      <c r="V492" s="26"/>
      <c r="W492">
        <f t="shared" si="117"/>
        <v>-135.47336695682466</v>
      </c>
      <c r="X492">
        <f>IF(Volume!W492&lt;'Temp Calcs'!$E$8,1,0)</f>
        <v>1</v>
      </c>
      <c r="Z492">
        <f t="shared" si="118"/>
        <v>134.59910551767635</v>
      </c>
      <c r="AA492">
        <f>IF(Volume!Z492&gt;'Temp Calcs'!$L$8,1,0)</f>
        <v>1</v>
      </c>
      <c r="AB492" s="8"/>
      <c r="AC492" s="7"/>
    </row>
    <row r="493" spans="1:29" ht="12.75">
      <c r="A493" s="1">
        <v>492</v>
      </c>
      <c r="C493" s="7">
        <f t="shared" si="126"/>
        <v>7994</v>
      </c>
      <c r="D493" s="8">
        <f t="shared" si="124"/>
        <v>613.3595661994636</v>
      </c>
      <c r="E493" s="7">
        <f t="shared" si="127"/>
        <v>-0.40121514442198847</v>
      </c>
      <c r="F493" s="7"/>
      <c r="G493">
        <f t="shared" si="128"/>
        <v>613.4833450666667</v>
      </c>
      <c r="H493" s="8">
        <f t="shared" si="129"/>
        <v>-0.12377886720310016</v>
      </c>
      <c r="I493" s="30">
        <f>IF(H493&lt;1,(Data!$G$16+14+0.8*Data!$G$17+Data!$G$18*(1-H493))*(1-H493),(Data!$G$16+6+Data!$G$17*(H493-0.6))*(H493-0.6))</f>
        <v>33.09254307266889</v>
      </c>
      <c r="J493" s="28">
        <f t="shared" si="133"/>
        <v>49.64410369236659</v>
      </c>
      <c r="K493" t="str">
        <f t="shared" si="130"/>
        <v>Cut</v>
      </c>
      <c r="L493" s="28">
        <f t="shared" si="131"/>
        <v>49.64410369236659</v>
      </c>
      <c r="M493" s="28">
        <f t="shared" si="132"/>
        <v>0</v>
      </c>
      <c r="N493" s="28">
        <f>SUM($L$3:L493)</f>
        <v>107901.09977393915</v>
      </c>
      <c r="O493" s="28">
        <f>SUM($M$3:M493)</f>
        <v>79470.022047077</v>
      </c>
      <c r="Q493">
        <f>MATCH(C493,Ground!$A$3:$A$1999,1)</f>
        <v>134</v>
      </c>
      <c r="R493">
        <f ca="1">OFFSET(Ground!$A$2,Volume!Q493,0)</f>
        <v>7990</v>
      </c>
      <c r="S493">
        <f ca="1">OFFSET(Ground!$A$2,Volume!Q493,1)</f>
        <v>613.500752</v>
      </c>
      <c r="T493">
        <f ca="1">OFFSET(Ground!$A$2,Volume!Q493+1,0)</f>
        <v>8020</v>
      </c>
      <c r="U493">
        <f ca="1">OFFSET(Ground!$A$2,Volume!Q493+1,1)</f>
        <v>613.3702</v>
      </c>
      <c r="V493" s="26"/>
      <c r="W493">
        <f t="shared" si="117"/>
        <v>-135.64495939184667</v>
      </c>
      <c r="X493">
        <f>IF(Volume!W493&lt;'Temp Calcs'!$E$8,1,0)</f>
        <v>1</v>
      </c>
      <c r="Z493">
        <f t="shared" si="118"/>
        <v>134.77029616813124</v>
      </c>
      <c r="AA493">
        <f>IF(Volume!Z493&gt;'Temp Calcs'!$L$8,1,0)</f>
        <v>1</v>
      </c>
      <c r="AB493" s="8"/>
      <c r="AC493" s="7"/>
    </row>
    <row r="494" spans="1:29" ht="12.75">
      <c r="A494" s="1">
        <v>493</v>
      </c>
      <c r="C494" s="7">
        <f t="shared" si="126"/>
        <v>7995.5</v>
      </c>
      <c r="D494" s="8">
        <f t="shared" si="124"/>
        <v>613.3538348498967</v>
      </c>
      <c r="E494" s="7">
        <f t="shared" si="127"/>
        <v>-0.36296479785470925</v>
      </c>
      <c r="F494" s="7"/>
      <c r="G494">
        <f t="shared" si="128"/>
        <v>613.4768174666667</v>
      </c>
      <c r="H494" s="8">
        <f t="shared" si="129"/>
        <v>-0.1229826167700594</v>
      </c>
      <c r="I494" s="30">
        <f>IF(H494&lt;1,(Data!$G$16+14+0.8*Data!$G$17+Data!$G$18*(1-H494))*(1-H494),(Data!$G$16+6+Data!$G$17*(H494-0.6))*(H494-0.6))</f>
        <v>33.06730709128107</v>
      </c>
      <c r="J494" s="28">
        <f t="shared" si="133"/>
        <v>49.619887622962466</v>
      </c>
      <c r="K494" t="str">
        <f t="shared" si="130"/>
        <v>Cut</v>
      </c>
      <c r="L494" s="28">
        <f t="shared" si="131"/>
        <v>49.619887622962466</v>
      </c>
      <c r="M494" s="28">
        <f t="shared" si="132"/>
        <v>0</v>
      </c>
      <c r="N494" s="28">
        <f>SUM($L$3:L494)</f>
        <v>107950.7196615621</v>
      </c>
      <c r="O494" s="28">
        <f>SUM($M$3:M494)</f>
        <v>79470.022047077</v>
      </c>
      <c r="Q494">
        <f>MATCH(C494,Ground!$A$3:$A$1999,1)</f>
        <v>134</v>
      </c>
      <c r="R494">
        <f ca="1">OFFSET(Ground!$A$2,Volume!Q494,0)</f>
        <v>7990</v>
      </c>
      <c r="S494">
        <f ca="1">OFFSET(Ground!$A$2,Volume!Q494,1)</f>
        <v>613.500752</v>
      </c>
      <c r="T494">
        <f ca="1">OFFSET(Ground!$A$2,Volume!Q494+1,0)</f>
        <v>8020</v>
      </c>
      <c r="U494">
        <f ca="1">OFFSET(Ground!$A$2,Volume!Q494+1,1)</f>
        <v>613.3702</v>
      </c>
      <c r="V494" s="26"/>
      <c r="W494">
        <f t="shared" si="117"/>
        <v>-135.81102735928258</v>
      </c>
      <c r="X494">
        <f>IF(Volume!W494&lt;'Temp Calcs'!$E$8,1,0)</f>
        <v>1</v>
      </c>
      <c r="Z494">
        <f t="shared" si="118"/>
        <v>134.93599859224955</v>
      </c>
      <c r="AA494">
        <f>IF(Volume!Z494&gt;'Temp Calcs'!$L$8,1,0)</f>
        <v>1</v>
      </c>
      <c r="AB494" s="8"/>
      <c r="AC494" s="7"/>
    </row>
    <row r="495" spans="1:29" ht="12.75">
      <c r="A495" s="1">
        <v>494</v>
      </c>
      <c r="C495" s="7">
        <f t="shared" si="126"/>
        <v>7997</v>
      </c>
      <c r="D495" s="8">
        <f t="shared" si="124"/>
        <v>613.3486772555281</v>
      </c>
      <c r="E495" s="7">
        <f t="shared" si="127"/>
        <v>-0.32471445128743026</v>
      </c>
      <c r="F495" s="7"/>
      <c r="G495">
        <f t="shared" si="128"/>
        <v>613.4702898666667</v>
      </c>
      <c r="H495" s="8">
        <f t="shared" si="129"/>
        <v>-0.1216126111386302</v>
      </c>
      <c r="I495" s="30">
        <f>IF(H495&lt;1,(Data!$G$16+14+0.8*Data!$G$17+Data!$G$18*(1-H495))*(1-H495),(Data!$G$16+6+Data!$G$17*(H495-0.6))*(H495-0.6))</f>
        <v>33.02389272190117</v>
      </c>
      <c r="J495" s="28">
        <f t="shared" si="133"/>
        <v>49.56839985988668</v>
      </c>
      <c r="K495" t="str">
        <f t="shared" si="130"/>
        <v>Cut</v>
      </c>
      <c r="L495" s="28">
        <f t="shared" si="131"/>
        <v>49.56839985988668</v>
      </c>
      <c r="M495" s="28">
        <f t="shared" si="132"/>
        <v>0</v>
      </c>
      <c r="N495" s="28">
        <f>SUM($L$3:L495)</f>
        <v>108000.28806142199</v>
      </c>
      <c r="O495" s="28">
        <f>SUM($M$3:M495)</f>
        <v>79470.022047077</v>
      </c>
      <c r="Q495">
        <f>MATCH(C495,Ground!$A$3:$A$1999,1)</f>
        <v>134</v>
      </c>
      <c r="R495">
        <f ca="1">OFFSET(Ground!$A$2,Volume!Q495,0)</f>
        <v>7990</v>
      </c>
      <c r="S495">
        <f ca="1">OFFSET(Ground!$A$2,Volume!Q495,1)</f>
        <v>613.500752</v>
      </c>
      <c r="T495">
        <f ca="1">OFFSET(Ground!$A$2,Volume!Q495+1,0)</f>
        <v>8020</v>
      </c>
      <c r="U495">
        <f ca="1">OFFSET(Ground!$A$2,Volume!Q495+1,1)</f>
        <v>613.3702</v>
      </c>
      <c r="V495" s="26"/>
      <c r="W495">
        <f t="shared" si="117"/>
        <v>-135.9715430785519</v>
      </c>
      <c r="X495">
        <f>IF(Volume!W495&lt;'Temp Calcs'!$E$8,1,0)</f>
        <v>1</v>
      </c>
      <c r="Z495">
        <f t="shared" si="118"/>
        <v>135.0961851008038</v>
      </c>
      <c r="AA495">
        <f>IF(Volume!Z495&gt;'Temp Calcs'!$L$8,1,0)</f>
        <v>1</v>
      </c>
      <c r="AB495" s="8"/>
      <c r="AC495" s="7"/>
    </row>
    <row r="496" spans="1:29" ht="12.75">
      <c r="A496" s="1">
        <v>495</v>
      </c>
      <c r="C496" s="7">
        <f t="shared" si="126"/>
        <v>7998.5</v>
      </c>
      <c r="D496" s="8">
        <f t="shared" si="124"/>
        <v>613.344093416358</v>
      </c>
      <c r="E496" s="7">
        <f t="shared" si="127"/>
        <v>-0.2864641047201508</v>
      </c>
      <c r="F496" s="7"/>
      <c r="G496">
        <f t="shared" si="128"/>
        <v>613.4637622666667</v>
      </c>
      <c r="H496" s="8">
        <f t="shared" si="129"/>
        <v>-0.11966885030869889</v>
      </c>
      <c r="I496" s="30">
        <f>IF(H496&lt;1,(Data!$G$16+14+0.8*Data!$G$17+Data!$G$18*(1-H496))*(1-H496),(Data!$G$16+6+Data!$G$17*(H496-0.6))*(H496-0.6))</f>
        <v>32.962309397099816</v>
      </c>
      <c r="J496" s="28">
        <f t="shared" si="133"/>
        <v>49.489651589250734</v>
      </c>
      <c r="K496" t="str">
        <f t="shared" si="130"/>
        <v>Cut</v>
      </c>
      <c r="L496" s="28">
        <f t="shared" si="131"/>
        <v>49.489651589250734</v>
      </c>
      <c r="M496" s="28">
        <f t="shared" si="132"/>
        <v>0</v>
      </c>
      <c r="N496" s="28">
        <f>SUM($L$3:L496)</f>
        <v>108049.77771301124</v>
      </c>
      <c r="O496" s="28">
        <f>SUM($M$3:M496)</f>
        <v>79470.022047077</v>
      </c>
      <c r="Q496">
        <f>MATCH(C496,Ground!$A$3:$A$1999,1)</f>
        <v>134</v>
      </c>
      <c r="R496">
        <f ca="1">OFFSET(Ground!$A$2,Volume!Q496,0)</f>
        <v>7990</v>
      </c>
      <c r="S496">
        <f ca="1">OFFSET(Ground!$A$2,Volume!Q496,1)</f>
        <v>613.500752</v>
      </c>
      <c r="T496">
        <f ca="1">OFFSET(Ground!$A$2,Volume!Q496+1,0)</f>
        <v>8020</v>
      </c>
      <c r="U496">
        <f ca="1">OFFSET(Ground!$A$2,Volume!Q496+1,1)</f>
        <v>613.3702</v>
      </c>
      <c r="V496" s="26"/>
      <c r="W496">
        <f t="shared" si="117"/>
        <v>-136.1264801196733</v>
      </c>
      <c r="X496">
        <f>IF(Volume!W496&lt;'Temp Calcs'!$E$8,1,0)</f>
        <v>1</v>
      </c>
      <c r="Z496">
        <f t="shared" si="118"/>
        <v>135.25082934618425</v>
      </c>
      <c r="AA496">
        <f>IF(Volume!Z496&gt;'Temp Calcs'!$L$8,1,0)</f>
        <v>1</v>
      </c>
      <c r="AB496" s="8"/>
      <c r="AC496" s="7"/>
    </row>
    <row r="497" spans="1:29" ht="12.75">
      <c r="A497" s="1">
        <v>496</v>
      </c>
      <c r="C497" s="7">
        <f t="shared" si="126"/>
        <v>8000</v>
      </c>
      <c r="D497" s="8">
        <f t="shared" si="124"/>
        <v>613.3400833323864</v>
      </c>
      <c r="E497" s="7">
        <f t="shared" si="127"/>
        <v>-0.2482137581528716</v>
      </c>
      <c r="F497" s="7"/>
      <c r="G497">
        <f t="shared" si="128"/>
        <v>613.4572346666666</v>
      </c>
      <c r="H497" s="8">
        <f t="shared" si="129"/>
        <v>-0.11715133428026547</v>
      </c>
      <c r="I497" s="30">
        <f>IF(H497&lt;1,(Data!$G$16+14+0.8*Data!$G$17+Data!$G$18*(1-H497))*(1-H497),(Data!$G$16+6+Data!$G$17*(H497-0.6))*(H497-0.6))</f>
        <v>32.882570499791576</v>
      </c>
      <c r="J497" s="28">
        <f t="shared" si="133"/>
        <v>49.38365992266855</v>
      </c>
      <c r="K497" t="str">
        <f t="shared" si="130"/>
        <v>Cut</v>
      </c>
      <c r="L497" s="28">
        <f t="shared" si="131"/>
        <v>49.38365992266855</v>
      </c>
      <c r="M497" s="28">
        <f t="shared" si="132"/>
        <v>0</v>
      </c>
      <c r="N497" s="28">
        <f>SUM($L$3:L497)</f>
        <v>108099.1613729339</v>
      </c>
      <c r="O497" s="28">
        <f>SUM($M$3:M497)</f>
        <v>79470.022047077</v>
      </c>
      <c r="Q497">
        <f>MATCH(C497,Ground!$A$3:$A$1999,1)</f>
        <v>134</v>
      </c>
      <c r="R497">
        <f ca="1">OFFSET(Ground!$A$2,Volume!Q497,0)</f>
        <v>7990</v>
      </c>
      <c r="S497">
        <f ca="1">OFFSET(Ground!$A$2,Volume!Q497,1)</f>
        <v>613.500752</v>
      </c>
      <c r="T497">
        <f ca="1">OFFSET(Ground!$A$2,Volume!Q497+1,0)</f>
        <v>8020</v>
      </c>
      <c r="U497">
        <f ca="1">OFFSET(Ground!$A$2,Volume!Q497+1,1)</f>
        <v>613.3702</v>
      </c>
      <c r="V497" s="26"/>
      <c r="W497">
        <f t="shared" si="117"/>
        <v>-136.2758134168804</v>
      </c>
      <c r="X497">
        <f>IF(Volume!W497&lt;'Temp Calcs'!$E$8,1,0)</f>
        <v>1</v>
      </c>
      <c r="Z497">
        <f t="shared" si="118"/>
        <v>135.39990633596267</v>
      </c>
      <c r="AA497">
        <f>IF(Volume!Z497&gt;'Temp Calcs'!$L$8,1,0)</f>
        <v>1</v>
      </c>
      <c r="AB497" s="8"/>
      <c r="AC497" s="7"/>
    </row>
    <row r="498" spans="1:29" ht="12.75">
      <c r="A498" s="1">
        <v>497</v>
      </c>
      <c r="C498" s="7">
        <f t="shared" si="126"/>
        <v>8001.5</v>
      </c>
      <c r="D498" s="8">
        <f t="shared" si="124"/>
        <v>613.3366470036134</v>
      </c>
      <c r="E498" s="7">
        <f t="shared" si="127"/>
        <v>-0.20996341158559262</v>
      </c>
      <c r="F498" s="7"/>
      <c r="G498">
        <f t="shared" si="128"/>
        <v>613.4507070666667</v>
      </c>
      <c r="H498" s="8">
        <f t="shared" si="129"/>
        <v>-0.11406006305332994</v>
      </c>
      <c r="I498" s="30">
        <f>IF(H498&lt;1,(Data!$G$16+14+0.8*Data!$G$17+Data!$G$18*(1-H498))*(1-H498),(Data!$G$16+6+Data!$G$17*(H498-0.6))*(H498-0.6))</f>
        <v>32.784693363231355</v>
      </c>
      <c r="J498" s="28">
        <f t="shared" si="133"/>
        <v>49.25044789726719</v>
      </c>
      <c r="K498" t="str">
        <f t="shared" si="130"/>
        <v>Cut</v>
      </c>
      <c r="L498" s="28">
        <f t="shared" si="131"/>
        <v>49.25044789726719</v>
      </c>
      <c r="M498" s="28">
        <f t="shared" si="132"/>
        <v>0</v>
      </c>
      <c r="N498" s="28">
        <f>SUM($L$3:L498)</f>
        <v>108148.41182083117</v>
      </c>
      <c r="O498" s="28">
        <f>SUM($M$3:M498)</f>
        <v>79470.022047077</v>
      </c>
      <c r="Q498">
        <f>MATCH(C498,Ground!$A$3:$A$1999,1)</f>
        <v>134</v>
      </c>
      <c r="R498">
        <f ca="1">OFFSET(Ground!$A$2,Volume!Q498,0)</f>
        <v>7990</v>
      </c>
      <c r="S498">
        <f ca="1">OFFSET(Ground!$A$2,Volume!Q498,1)</f>
        <v>613.500752</v>
      </c>
      <c r="T498">
        <f ca="1">OFFSET(Ground!$A$2,Volume!Q498+1,0)</f>
        <v>8020</v>
      </c>
      <c r="U498">
        <f ca="1">OFFSET(Ground!$A$2,Volume!Q498+1,1)</f>
        <v>613.3702</v>
      </c>
      <c r="V498" s="26"/>
      <c r="W498">
        <f t="shared" si="117"/>
        <v>-136.41951928140227</v>
      </c>
      <c r="X498">
        <f>IF(Volume!W498&lt;'Temp Calcs'!$E$8,1,0)</f>
        <v>1</v>
      </c>
      <c r="Z498">
        <f t="shared" si="118"/>
        <v>135.5433924456275</v>
      </c>
      <c r="AA498">
        <f>IF(Volume!Z498&gt;'Temp Calcs'!$L$8,1,0)</f>
        <v>1</v>
      </c>
      <c r="AB498" s="8"/>
      <c r="AC498" s="7"/>
    </row>
    <row r="499" spans="1:29" ht="12.75">
      <c r="A499" s="1">
        <v>498</v>
      </c>
      <c r="C499" s="7">
        <f t="shared" si="126"/>
        <v>8003</v>
      </c>
      <c r="D499" s="8">
        <f t="shared" si="124"/>
        <v>613.3337844300389</v>
      </c>
      <c r="E499" s="7">
        <f t="shared" si="127"/>
        <v>-0.1717130650183134</v>
      </c>
      <c r="F499" s="7"/>
      <c r="G499">
        <f t="shared" si="128"/>
        <v>613.4441794666667</v>
      </c>
      <c r="H499" s="8">
        <f t="shared" si="129"/>
        <v>-0.11039503662777861</v>
      </c>
      <c r="I499" s="30">
        <f>IF(H499&lt;1,(Data!$G$16+14+0.8*Data!$G$17+Data!$G$18*(1-H499))*(1-H499),(Data!$G$16+6+Data!$G$17*(H499-0.6))*(H499-0.6))</f>
        <v>32.66869927101079</v>
      </c>
      <c r="J499" s="28">
        <f t="shared" si="133"/>
        <v>49.0900444756816</v>
      </c>
      <c r="K499" t="str">
        <f t="shared" si="130"/>
        <v>Cut</v>
      </c>
      <c r="L499" s="28">
        <f t="shared" si="131"/>
        <v>49.0900444756816</v>
      </c>
      <c r="M499" s="28">
        <f t="shared" si="132"/>
        <v>0</v>
      </c>
      <c r="N499" s="28">
        <f>SUM($L$3:L499)</f>
        <v>108197.50186530685</v>
      </c>
      <c r="O499" s="28">
        <f>SUM($M$3:M499)</f>
        <v>79470.022047077</v>
      </c>
      <c r="Q499">
        <f>MATCH(C499,Ground!$A$3:$A$1999,1)</f>
        <v>134</v>
      </c>
      <c r="R499">
        <f ca="1">OFFSET(Ground!$A$2,Volume!Q499,0)</f>
        <v>7990</v>
      </c>
      <c r="S499">
        <f ca="1">OFFSET(Ground!$A$2,Volume!Q499,1)</f>
        <v>613.500752</v>
      </c>
      <c r="T499">
        <f ca="1">OFFSET(Ground!$A$2,Volume!Q499+1,0)</f>
        <v>8020</v>
      </c>
      <c r="U499">
        <f ca="1">OFFSET(Ground!$A$2,Volume!Q499+1,1)</f>
        <v>613.3702</v>
      </c>
      <c r="V499" s="26"/>
      <c r="W499">
        <f t="shared" si="117"/>
        <v>-136.55757541340844</v>
      </c>
      <c r="X499">
        <f>IF(Volume!W499&lt;'Temp Calcs'!$E$8,1,0)</f>
        <v>1</v>
      </c>
      <c r="Z499">
        <f t="shared" si="118"/>
        <v>135.68126543048828</v>
      </c>
      <c r="AA499">
        <f>IF(Volume!Z499&gt;'Temp Calcs'!$L$8,1,0)</f>
        <v>1</v>
      </c>
      <c r="AB499" s="8"/>
      <c r="AC499" s="7"/>
    </row>
    <row r="500" spans="1:29" ht="12.75">
      <c r="A500" s="1">
        <v>499</v>
      </c>
      <c r="C500" s="7">
        <f t="shared" si="126"/>
        <v>8004.5</v>
      </c>
      <c r="D500" s="8">
        <f t="shared" si="124"/>
        <v>613.3314956116628</v>
      </c>
      <c r="E500" s="7">
        <f t="shared" si="127"/>
        <v>-0.13346271845103397</v>
      </c>
      <c r="F500" s="7"/>
      <c r="G500">
        <f t="shared" si="128"/>
        <v>613.4376518666667</v>
      </c>
      <c r="H500" s="8">
        <f t="shared" si="129"/>
        <v>-0.10615625500383885</v>
      </c>
      <c r="I500" s="30">
        <f>IF(H500&lt;1,(Data!$G$16+14+0.8*Data!$G$17+Data!$G$18*(1-H500))*(1-H500),(Data!$G$16+6+Data!$G$17*(H500-0.6))*(H500-0.6))</f>
        <v>32.53461345707265</v>
      </c>
      <c r="J500" s="28">
        <f t="shared" si="133"/>
        <v>48.902484546062574</v>
      </c>
      <c r="K500" t="str">
        <f t="shared" si="130"/>
        <v>Cut</v>
      </c>
      <c r="L500" s="28">
        <f t="shared" si="131"/>
        <v>48.902484546062574</v>
      </c>
      <c r="M500" s="28">
        <f t="shared" si="132"/>
        <v>0</v>
      </c>
      <c r="N500" s="28">
        <f>SUM($L$3:L500)</f>
        <v>108246.40434985292</v>
      </c>
      <c r="O500" s="28">
        <f>SUM($M$3:M500)</f>
        <v>79470.022047077</v>
      </c>
      <c r="Q500">
        <f>MATCH(C500,Ground!$A$3:$A$1999,1)</f>
        <v>134</v>
      </c>
      <c r="R500">
        <f ca="1">OFFSET(Ground!$A$2,Volume!Q500,0)</f>
        <v>7990</v>
      </c>
      <c r="S500">
        <f ca="1">OFFSET(Ground!$A$2,Volume!Q500,1)</f>
        <v>613.500752</v>
      </c>
      <c r="T500">
        <f ca="1">OFFSET(Ground!$A$2,Volume!Q500+1,0)</f>
        <v>8020</v>
      </c>
      <c r="U500">
        <f ca="1">OFFSET(Ground!$A$2,Volume!Q500+1,1)</f>
        <v>613.3702</v>
      </c>
      <c r="V500" s="26"/>
      <c r="W500">
        <f t="shared" si="117"/>
        <v>-136.68996091309455</v>
      </c>
      <c r="X500">
        <f>IF(Volume!W500&lt;'Temp Calcs'!$E$8,1,0)</f>
        <v>1</v>
      </c>
      <c r="Z500">
        <f t="shared" si="118"/>
        <v>135.813504436727</v>
      </c>
      <c r="AA500">
        <f>IF(Volume!Z500&gt;'Temp Calcs'!$L$8,1,0)</f>
        <v>1</v>
      </c>
      <c r="AB500" s="8"/>
      <c r="AC500" s="7"/>
    </row>
    <row r="501" spans="1:29" ht="12.75">
      <c r="A501" s="1">
        <v>500</v>
      </c>
      <c r="C501" s="7">
        <f t="shared" si="126"/>
        <v>8006</v>
      </c>
      <c r="D501" s="8">
        <f t="shared" si="124"/>
        <v>613.3297805484854</v>
      </c>
      <c r="E501" s="7">
        <f t="shared" si="127"/>
        <v>-0.09521237188375498</v>
      </c>
      <c r="F501" s="7"/>
      <c r="G501">
        <f t="shared" si="128"/>
        <v>613.4311242666666</v>
      </c>
      <c r="H501" s="8">
        <f t="shared" si="129"/>
        <v>-0.1013437181812833</v>
      </c>
      <c r="I501" s="30">
        <f>IF(H501&lt;1,(Data!$G$16+14+0.8*Data!$G$17+Data!$G$18*(1-H501))*(1-H501),(Data!$G$16+6+Data!$G$17*(H501-0.6))*(H501-0.6))</f>
        <v>32.382465105685654</v>
      </c>
      <c r="J501" s="28">
        <f t="shared" si="133"/>
        <v>48.687808922068726</v>
      </c>
      <c r="K501" t="str">
        <f t="shared" si="130"/>
        <v>Cut</v>
      </c>
      <c r="L501" s="28">
        <f t="shared" si="131"/>
        <v>48.687808922068726</v>
      </c>
      <c r="M501" s="28">
        <f t="shared" si="132"/>
        <v>0</v>
      </c>
      <c r="N501" s="28">
        <f>SUM($L$3:L501)</f>
        <v>108295.09215877499</v>
      </c>
      <c r="O501" s="28">
        <f>SUM($M$3:M501)</f>
        <v>79470.022047077</v>
      </c>
      <c r="Q501">
        <f>MATCH(C501,Ground!$A$3:$A$1999,1)</f>
        <v>134</v>
      </c>
      <c r="R501">
        <f ca="1">OFFSET(Ground!$A$2,Volume!Q501,0)</f>
        <v>7990</v>
      </c>
      <c r="S501">
        <f ca="1">OFFSET(Ground!$A$2,Volume!Q501,1)</f>
        <v>613.500752</v>
      </c>
      <c r="T501">
        <f ca="1">OFFSET(Ground!$A$2,Volume!Q501+1,0)</f>
        <v>8020</v>
      </c>
      <c r="U501">
        <f ca="1">OFFSET(Ground!$A$2,Volume!Q501+1,1)</f>
        <v>613.3702</v>
      </c>
      <c r="V501" s="26"/>
      <c r="W501">
        <f t="shared" si="117"/>
        <v>-136.81665629090205</v>
      </c>
      <c r="X501">
        <f>IF(Volume!W501&lt;'Temp Calcs'!$E$8,1,0)</f>
        <v>1</v>
      </c>
      <c r="Z501">
        <f t="shared" si="118"/>
        <v>135.94009001158884</v>
      </c>
      <c r="AA501">
        <f>IF(Volume!Z501&gt;'Temp Calcs'!$L$8,1,0)</f>
        <v>1</v>
      </c>
      <c r="AB501" s="8"/>
      <c r="AC501" s="7"/>
    </row>
    <row r="502" spans="1:29" ht="12.75">
      <c r="A502" s="1">
        <v>501</v>
      </c>
      <c r="B502" s="1" t="s">
        <v>18</v>
      </c>
      <c r="C502" s="5">
        <f>Data!C8+Data!F8/2</f>
        <v>8007.5</v>
      </c>
      <c r="D502" s="1">
        <f>Data!D8+Data!E8/100*Data!F8/2</f>
        <v>613.3286392405064</v>
      </c>
      <c r="E502" s="5">
        <f>Data!E8</f>
        <v>-0.056962025316475845</v>
      </c>
      <c r="F502" s="5"/>
      <c r="G502">
        <f>S502+(U502-S502)*(C502-R502)/(T502-R502)</f>
        <v>613.4245966666666</v>
      </c>
      <c r="H502" s="8">
        <f>D502-G502</f>
        <v>-0.09595742616022562</v>
      </c>
      <c r="I502" s="30">
        <f>IF(H502&lt;1,(Data!$G$16+14+0.8*Data!$G$17+Data!$G$18*(1-H502))*(1-H502),(Data!$G$16+6+Data!$G$17*(H502-0.6))*(H502-0.6))</f>
        <v>32.21228735146963</v>
      </c>
      <c r="J502" s="28">
        <f t="shared" si="133"/>
        <v>48.446064342866464</v>
      </c>
      <c r="K502" t="str">
        <f>IF(H502&lt;0.5,"Cut","Fill")</f>
        <v>Cut</v>
      </c>
      <c r="L502" s="28">
        <f t="shared" si="131"/>
        <v>48.446064342866464</v>
      </c>
      <c r="M502" s="28">
        <f>IF(K502="Fill",J502,0)</f>
        <v>0</v>
      </c>
      <c r="N502" s="28">
        <f>SUM($L$3:L502)</f>
        <v>108343.53822311785</v>
      </c>
      <c r="O502" s="28">
        <f>SUM($M$3:M502)</f>
        <v>79470.022047077</v>
      </c>
      <c r="Q502">
        <f>MATCH(C502,Ground!$A$3:$A$1999,1)</f>
        <v>134</v>
      </c>
      <c r="R502">
        <f ca="1">OFFSET(Ground!$A$2,Volume!Q502,0)</f>
        <v>7990</v>
      </c>
      <c r="S502">
        <f ca="1">OFFSET(Ground!$A$2,Volume!Q502,1)</f>
        <v>613.500752</v>
      </c>
      <c r="T502">
        <f ca="1">OFFSET(Ground!$A$2,Volume!Q502+1,0)</f>
        <v>8020</v>
      </c>
      <c r="U502">
        <f ca="1">OFFSET(Ground!$A$2,Volume!Q502+1,1)</f>
        <v>613.3702</v>
      </c>
      <c r="W502">
        <f t="shared" si="117"/>
        <v>-136.937643476873</v>
      </c>
      <c r="X502">
        <f>IF(Volume!W502&lt;'Temp Calcs'!$E$8,1,0)</f>
        <v>1</v>
      </c>
      <c r="Z502">
        <f t="shared" si="118"/>
        <v>136.061004112714</v>
      </c>
      <c r="AA502">
        <f>IF(Volume!Z502&gt;'Temp Calcs'!$L$8,1,0)</f>
        <v>1</v>
      </c>
      <c r="AB502" s="1"/>
      <c r="AC502"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Williamson</dc:creator>
  <cp:keywords/>
  <dc:description/>
  <cp:lastModifiedBy>Des Williamson</cp:lastModifiedBy>
  <cp:lastPrinted>2009-05-04T17:37:12Z</cp:lastPrinted>
  <dcterms:created xsi:type="dcterms:W3CDTF">2006-10-10T21:13:40Z</dcterms:created>
  <dcterms:modified xsi:type="dcterms:W3CDTF">2010-03-04T23:16:55Z</dcterms:modified>
  <cp:category/>
  <cp:version/>
  <cp:contentType/>
  <cp:contentStatus/>
</cp:coreProperties>
</file>