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1915" windowHeight="13035" activeTab="1"/>
  </bookViews>
  <sheets>
    <sheet name="About" sheetId="1" r:id="rId1"/>
    <sheet name="Spur Data" sheetId="2" r:id="rId2"/>
    <sheet name="Spur XY Plot" sheetId="3" r:id="rId3"/>
    <sheet name="Spur Geog Plot" sheetId="4" r:id="rId4"/>
    <sheet name="Spur Export" sheetId="5" r:id="rId5"/>
  </sheets>
  <definedNames/>
  <calcPr fullCalcOnLoad="1"/>
</workbook>
</file>

<file path=xl/comments2.xml><?xml version="1.0" encoding="utf-8"?>
<comments xmlns="http://schemas.openxmlformats.org/spreadsheetml/2006/main">
  <authors>
    <author>Des Williamson</author>
  </authors>
  <commentList>
    <comment ref="B2" authorId="0">
      <text>
        <r>
          <rPr>
            <b/>
            <sz val="8"/>
            <rFont val="Tahoma"/>
            <family val="0"/>
          </rPr>
          <t xml:space="preserve"> Enter E,N for point on alignment, and enter STA for this point.  E,N should be in same coordiantes as DEM data (used to relate station to coordinates).</t>
        </r>
      </text>
    </comment>
    <comment ref="B3" authorId="0">
      <text>
        <r>
          <rPr>
            <b/>
            <sz val="8"/>
            <rFont val="Tahoma"/>
            <family val="0"/>
          </rPr>
          <t>Insert E,N for another point on alignment with a higher station value than 1st point.  STA value is NOT required for this point (used to provide bearing for alignment and orientation for fills).</t>
        </r>
      </text>
    </comment>
    <comment ref="B5" authorId="0">
      <text>
        <r>
          <rPr>
            <b/>
            <sz val="8"/>
            <rFont val="Tahoma"/>
            <family val="0"/>
          </rPr>
          <t>Enter STA value for out to out of bridge fill point for current option (used with reference points to locate the top of fill line relative to the coordinates).</t>
        </r>
      </text>
    </comment>
    <comment ref="B6" authorId="0">
      <text>
        <r>
          <rPr>
            <b/>
            <sz val="8"/>
            <rFont val="Tahoma"/>
            <family val="0"/>
          </rPr>
          <t>If station increases twoards the river from the out to out of fill point, enter "Y" (used to draw fills on correct side of fill point).</t>
        </r>
      </text>
    </comment>
    <comment ref="B7" authorId="0">
      <text>
        <r>
          <rPr>
            <b/>
            <sz val="8"/>
            <rFont val="Tahoma"/>
            <family val="0"/>
          </rPr>
          <t>Top of Fill Width (m).  Specified as gross bridge width + 2m in Bridge Design Criteria document, roughly equivalent to Clear Roadway + 3m.</t>
        </r>
      </text>
    </comment>
    <comment ref="B8" authorId="0">
      <text>
        <r>
          <rPr>
            <b/>
            <sz val="8"/>
            <rFont val="Tahoma"/>
            <family val="0"/>
          </rPr>
          <t>H:V ratio for headslope, fill slope perpendicular to stream, on square.  2:1 is typical, flatter may be used for fills with geotechnical issues.</t>
        </r>
      </text>
    </comment>
    <comment ref="B9" authorId="0">
      <text>
        <r>
          <rPr>
            <b/>
            <sz val="8"/>
            <rFont val="Tahoma"/>
            <family val="0"/>
          </rPr>
          <t>Elevation of top of finished gradeline on centreline at out ot out of fill point (m).</t>
        </r>
      </text>
    </comment>
    <comment ref="B10" authorId="0">
      <text>
        <r>
          <rPr>
            <b/>
            <sz val="8"/>
            <rFont val="Tahoma"/>
            <family val="0"/>
          </rPr>
          <t>Elevation of top of rock (m).  Generally matches design HW elevation.</t>
        </r>
      </text>
    </comment>
    <comment ref="B11" authorId="0">
      <text>
        <r>
          <rPr>
            <b/>
            <sz val="8"/>
            <rFont val="Tahoma"/>
            <family val="0"/>
          </rPr>
          <t>Elevation of Bottom of Rock (m).  Generally one rock thickness below mean stream bed adjacent to protection.</t>
        </r>
      </text>
    </comment>
    <comment ref="B12" authorId="0">
      <text>
        <r>
          <rPr>
            <b/>
            <sz val="8"/>
            <rFont val="Tahoma"/>
            <family val="0"/>
          </rPr>
          <t>Length of rock apron (m) projecting out into the stream, measured from toe of prepared slope at bottom of rock elevation.  Slope of nose of apron assumed to be 1:1, and apron assumed to be 2X the rock thickness.  Apron length is generally sized to ensure launching into an adjacent scour hole.</t>
        </r>
      </text>
    </comment>
    <comment ref="B13" authorId="0">
      <text>
        <r>
          <rPr>
            <b/>
            <sz val="8"/>
            <rFont val="Tahoma"/>
            <family val="0"/>
          </rPr>
          <t>Thickness of rock protection (m) on slope.  Generally equal to maximum size of rock in riprap class.</t>
        </r>
      </text>
    </comment>
    <comment ref="B14" authorId="0">
      <text>
        <r>
          <rPr>
            <b/>
            <sz val="8"/>
            <rFont val="Tahoma"/>
            <family val="0"/>
          </rPr>
          <t xml:space="preserve">Angle of protection relative to CL to left (left relative to looking along positive station) -  0 to 90 degrees
</t>
        </r>
      </text>
    </comment>
    <comment ref="B15" authorId="0">
      <text>
        <r>
          <rPr>
            <b/>
            <sz val="8"/>
            <rFont val="Tahoma"/>
            <family val="0"/>
          </rPr>
          <t>Angle of protection relative to CL to right (right relative to looking along positive station)-  0 to 90 degrees</t>
        </r>
      </text>
    </comment>
    <comment ref="B16" authorId="0">
      <text>
        <r>
          <rPr>
            <b/>
            <sz val="8"/>
            <rFont val="Tahoma"/>
            <family val="0"/>
          </rPr>
          <t>Length of protection along left shank (left relative to looking along positive station) - if not zero, left wrap angle set to 90 degrees for continuity</t>
        </r>
      </text>
    </comment>
    <comment ref="B17" authorId="0">
      <text>
        <r>
          <rPr>
            <b/>
            <sz val="8"/>
            <rFont val="Tahoma"/>
            <family val="0"/>
          </rPr>
          <t>Length of protection along right shank (right relative to looking along positive station) - if not zero, right wrap angle set to 90 degrees for continuity</t>
        </r>
      </text>
    </comment>
  </commentList>
</comments>
</file>

<file path=xl/sharedStrings.xml><?xml version="1.0" encoding="utf-8"?>
<sst xmlns="http://schemas.openxmlformats.org/spreadsheetml/2006/main" count="77" uniqueCount="64">
  <si>
    <t>x</t>
  </si>
  <si>
    <t>y</t>
  </si>
  <si>
    <t>r</t>
  </si>
  <si>
    <t>Angle</t>
  </si>
  <si>
    <t>Headslope Ratio</t>
  </si>
  <si>
    <t>Top Of Rock EL</t>
  </si>
  <si>
    <t>Bottom Of Rock EL</t>
  </si>
  <si>
    <t>Apron Length</t>
  </si>
  <si>
    <t>Rock Thickness</t>
  </si>
  <si>
    <t>A1</t>
  </si>
  <si>
    <t>r1</t>
  </si>
  <si>
    <t>A2</t>
  </si>
  <si>
    <t>r2</t>
  </si>
  <si>
    <t>A</t>
  </si>
  <si>
    <t>Station Increase To River (Y/N)</t>
  </si>
  <si>
    <t>Y</t>
  </si>
  <si>
    <t>STA</t>
  </si>
  <si>
    <t>N</t>
  </si>
  <si>
    <t>E</t>
  </si>
  <si>
    <t>Reference Point</t>
  </si>
  <si>
    <t>Ref Point on Tangent (Inc. STA)</t>
  </si>
  <si>
    <t>dE</t>
  </si>
  <si>
    <t>dN</t>
  </si>
  <si>
    <t>Bearing</t>
  </si>
  <si>
    <t>Rotate</t>
  </si>
  <si>
    <t>DESCRIPTION=Bottom Of Rock</t>
  </si>
  <si>
    <t>L</t>
  </si>
  <si>
    <t>b</t>
  </si>
  <si>
    <t>Revision History :</t>
  </si>
  <si>
    <t>Rad</t>
  </si>
  <si>
    <t>Plot Shank Dist</t>
  </si>
  <si>
    <t>shank</t>
  </si>
  <si>
    <t>Top Of Spur Width</t>
  </si>
  <si>
    <t>Spur Station (Point of Rotation)</t>
  </si>
  <si>
    <t>Top of Spur EL</t>
  </si>
  <si>
    <t>Left Wrap Angle</t>
  </si>
  <si>
    <t>Right Wrap Angle</t>
  </si>
  <si>
    <t>Right Shank Protection Length (m)</t>
  </si>
  <si>
    <t>Left Shank Protection Length (m)</t>
  </si>
  <si>
    <t>LWA</t>
  </si>
  <si>
    <t>RWA</t>
  </si>
  <si>
    <t>m</t>
  </si>
  <si>
    <t>t</t>
  </si>
  <si>
    <t>h</t>
  </si>
  <si>
    <t>lc</t>
  </si>
  <si>
    <t>Vc</t>
  </si>
  <si>
    <t>ls</t>
  </si>
  <si>
    <t>Vs</t>
  </si>
  <si>
    <t>Vt</t>
  </si>
  <si>
    <t>Total Rock Volume (m3)</t>
  </si>
  <si>
    <t>Top of Rock</t>
  </si>
  <si>
    <t>Bottom of Rock</t>
  </si>
  <si>
    <t>Edge of Apron</t>
  </si>
  <si>
    <t>DESCRIPTION=Top Of Berm</t>
  </si>
  <si>
    <t>Right Shank Rock</t>
  </si>
  <si>
    <t>Left Shank Rock</t>
  </si>
  <si>
    <t>Left Shank Bottom Of Rock</t>
  </si>
  <si>
    <t>Right Shank Bottom Of Rock</t>
  </si>
  <si>
    <t>DESCRIPTION=Rock Outline</t>
  </si>
  <si>
    <t>Build : June 19, 2008</t>
  </si>
  <si>
    <t>Spur RPW Plotting Tool v1.0</t>
  </si>
  <si>
    <t>This tool plots rock extents for spurs and calculates rock volumes.  Georeferenced plot data can be exported to Global Mapper to assess spurl location, skew, and rock extent, and the vectors can be forwarded on for drafting.  
Spur and rock data are entered in the "Data" sheet and input can be checked in the" XY Plot" and "Geog Plot" sheets.  The "Export" sheets can be saved as .CSV file (recommend copy to new sheet first) for input into Global Mapper.</t>
  </si>
  <si>
    <t>June 19, 2008 - Original (based on Bridge Fill RPW Plotting Tool)</t>
  </si>
  <si>
    <t>DESCRIPTION=Centre Point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</si>
</sst>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mmmm\ d\,\ yyyy"/>
    <numFmt numFmtId="179" formatCode="mmm\ dd\,\ yyyy"/>
    <numFmt numFmtId="180" formatCode="m/d"/>
    <numFmt numFmtId="181" formatCode="0.E+00"/>
  </numFmts>
  <fonts count="14">
    <font>
      <sz val="10"/>
      <name val="Arial"/>
      <family val="0"/>
    </font>
    <font>
      <b/>
      <sz val="10"/>
      <name val="Arial"/>
      <family val="2"/>
    </font>
    <font>
      <b/>
      <sz val="10"/>
      <color indexed="12"/>
      <name val="Arial"/>
      <family val="2"/>
    </font>
    <font>
      <b/>
      <sz val="12"/>
      <color indexed="12"/>
      <name val="Arial"/>
      <family val="2"/>
    </font>
    <font>
      <b/>
      <sz val="12"/>
      <name val="Arial"/>
      <family val="2"/>
    </font>
    <font>
      <b/>
      <sz val="12"/>
      <color indexed="10"/>
      <name val="Arial"/>
      <family val="2"/>
    </font>
    <font>
      <sz val="8"/>
      <name val="Arial"/>
      <family val="0"/>
    </font>
    <font>
      <b/>
      <sz val="8"/>
      <name val="Tahoma"/>
      <family val="0"/>
    </font>
    <font>
      <u val="single"/>
      <sz val="10"/>
      <color indexed="36"/>
      <name val="Arial"/>
      <family val="0"/>
    </font>
    <font>
      <u val="single"/>
      <sz val="10"/>
      <color indexed="12"/>
      <name val="Arial"/>
      <family val="0"/>
    </font>
    <font>
      <b/>
      <sz val="20"/>
      <color indexed="48"/>
      <name val="Arial"/>
      <family val="2"/>
    </font>
    <font>
      <sz val="14"/>
      <color indexed="10"/>
      <name val="Arial"/>
      <family val="2"/>
    </font>
    <font>
      <sz val="12"/>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2"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0" fontId="10" fillId="0" borderId="0" xfId="0" applyFont="1" applyAlignment="1">
      <alignment/>
    </xf>
    <xf numFmtId="178" fontId="11" fillId="0" borderId="0" xfId="0" applyNumberFormat="1" applyFont="1" applyAlignment="1">
      <alignment horizontal="left"/>
    </xf>
    <xf numFmtId="0" fontId="1" fillId="0" borderId="0" xfId="0" applyFont="1" applyAlignment="1">
      <alignment vertical="top" wrapText="1"/>
    </xf>
    <xf numFmtId="0" fontId="0" fillId="0" borderId="0" xfId="0" applyAlignment="1">
      <alignment vertical="top"/>
    </xf>
    <xf numFmtId="0" fontId="0" fillId="0" borderId="0" xfId="0" applyAlignment="1">
      <alignment horizontal="left" indent="3"/>
    </xf>
    <xf numFmtId="0" fontId="12" fillId="0" borderId="0" xfId="0" applyFont="1" applyAlignment="1">
      <alignment/>
    </xf>
    <xf numFmtId="0" fontId="4" fillId="0" borderId="0" xfId="0" applyFont="1" applyAlignment="1">
      <alignment/>
    </xf>
    <xf numFmtId="0" fontId="5" fillId="0" borderId="0" xfId="0" applyFont="1" applyAlignment="1">
      <alignment/>
    </xf>
    <xf numFmtId="1" fontId="3" fillId="0" borderId="0" xfId="0" applyNumberFormat="1" applyFont="1" applyAlignment="1">
      <alignment/>
    </xf>
    <xf numFmtId="0" fontId="12" fillId="0" borderId="0" xfId="0" applyFont="1" applyAlignment="1">
      <alignment/>
    </xf>
    <xf numFmtId="165" fontId="5" fillId="0" borderId="0" xfId="0" applyNumberFormat="1" applyFont="1" applyAlignment="1">
      <alignment/>
    </xf>
    <xf numFmtId="165" fontId="12" fillId="0" borderId="0" xfId="0" applyNumberFormat="1" applyFont="1" applyAlignment="1">
      <alignment/>
    </xf>
    <xf numFmtId="165" fontId="3"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65"/>
          <c:w val="0.74225"/>
          <c:h val="0.967"/>
        </c:manualLayout>
      </c:layout>
      <c:scatterChart>
        <c:scatterStyle val="lineMarker"/>
        <c:varyColors val="0"/>
        <c:ser>
          <c:idx val="3"/>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Data'!$N$9:$N$29</c:f>
              <c:numCache>
                <c:ptCount val="21"/>
                <c:pt idx="0">
                  <c:v>3.464101615137755</c:v>
                </c:pt>
                <c:pt idx="1">
                  <c:v>3.256462073425277</c:v>
                </c:pt>
                <c:pt idx="2">
                  <c:v>3.018838320891088</c:v>
                </c:pt>
                <c:pt idx="3">
                  <c:v>2.753418302775016</c:v>
                </c:pt>
                <c:pt idx="4">
                  <c:v>2.462645901302633</c:v>
                </c:pt>
                <c:pt idx="5">
                  <c:v>2.1491984333872955</c:v>
                </c:pt>
                <c:pt idx="6">
                  <c:v>1.8159619989581872</c:v>
                </c:pt>
                <c:pt idx="7">
                  <c:v>1.4660049068971892</c:v>
                </c:pt>
                <c:pt idx="8">
                  <c:v>1.1025494232679967</c:v>
                </c:pt>
                <c:pt idx="9">
                  <c:v>0.7289421019685898</c:v>
                </c:pt>
                <c:pt idx="10">
                  <c:v>0.34862297099063255</c:v>
                </c:pt>
                <c:pt idx="11">
                  <c:v>-0.03490614199349599</c:v>
                </c:pt>
                <c:pt idx="12">
                  <c:v>-0.4181138530706142</c:v>
                </c:pt>
                <c:pt idx="13">
                  <c:v>-0.7974717376687882</c:v>
                </c:pt>
                <c:pt idx="14">
                  <c:v>-1.1694868188909466</c:v>
                </c:pt>
                <c:pt idx="15">
                  <c:v>-1.530733729460359</c:v>
                </c:pt>
                <c:pt idx="16">
                  <c:v>-1.8778862511435637</c:v>
                </c:pt>
                <c:pt idx="17">
                  <c:v>-2.2077479412482326</c:v>
                </c:pt>
                <c:pt idx="18">
                  <c:v>-2.517281564199349</c:v>
                </c:pt>
                <c:pt idx="19">
                  <c:v>-2.8036370571994036</c:v>
                </c:pt>
                <c:pt idx="20">
                  <c:v>-3.0641777724759116</c:v>
                </c:pt>
              </c:numCache>
            </c:numRef>
          </c:xVal>
          <c:yVal>
            <c:numRef>
              <c:f>'Spur Data'!$O$9:$O$29</c:f>
              <c:numCache>
                <c:ptCount val="21"/>
                <c:pt idx="0">
                  <c:v>1.9999999999999998</c:v>
                </c:pt>
                <c:pt idx="1">
                  <c:v>2.322811822843759</c:v>
                </c:pt>
                <c:pt idx="2">
                  <c:v>2.624236115962029</c:v>
                </c:pt>
                <c:pt idx="3">
                  <c:v>2.9014974840491505</c:v>
                </c:pt>
                <c:pt idx="4">
                  <c:v>3.152043014426888</c:v>
                </c:pt>
                <c:pt idx="5">
                  <c:v>3.373565783251543</c:v>
                </c:pt>
                <c:pt idx="6">
                  <c:v>3.564026096753471</c:v>
                </c:pt>
                <c:pt idx="7">
                  <c:v>3.7216702719280983</c:v>
                </c:pt>
                <c:pt idx="8">
                  <c:v>3.8450467837532756</c:v>
                </c:pt>
                <c:pt idx="9">
                  <c:v>3.9330196302558185</c:v>
                </c:pt>
                <c:pt idx="10">
                  <c:v>3.984778792366982</c:v>
                </c:pt>
                <c:pt idx="11">
                  <c:v>3.9998476922566852</c:v>
                </c:pt>
                <c:pt idx="12">
                  <c:v>3.978087581473093</c:v>
                </c:pt>
                <c:pt idx="13">
                  <c:v>3.9196988184833184</c:v>
                </c:pt>
                <c:pt idx="14">
                  <c:v>3.825219023852142</c:v>
                </c:pt>
                <c:pt idx="15">
                  <c:v>3.695518130045147</c:v>
                </c:pt>
                <c:pt idx="16">
                  <c:v>3.5317903714357075</c:v>
                </c:pt>
                <c:pt idx="17">
                  <c:v>3.335543288268673</c:v>
                </c:pt>
                <c:pt idx="18">
                  <c:v>3.108583845827884</c:v>
                </c:pt>
                <c:pt idx="19">
                  <c:v>2.8530017966167263</c:v>
                </c:pt>
                <c:pt idx="20">
                  <c:v>2.571150438746158</c:v>
                </c:pt>
              </c:numCache>
            </c:numRef>
          </c:yVal>
          <c:smooth val="0"/>
        </c:ser>
        <c:ser>
          <c:idx val="0"/>
          <c:order val="1"/>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Data'!$H$8:$H$46</c:f>
              <c:numCache>
                <c:ptCount val="39"/>
                <c:pt idx="0">
                  <c:v>2</c:v>
                </c:pt>
                <c:pt idx="1">
                  <c:v>2</c:v>
                </c:pt>
                <c:pt idx="2">
                  <c:v>1.992389396183491</c:v>
                </c:pt>
                <c:pt idx="3">
                  <c:v>1.969615506024416</c:v>
                </c:pt>
                <c:pt idx="4">
                  <c:v>1.9318516525781366</c:v>
                </c:pt>
                <c:pt idx="5">
                  <c:v>1.8793852415718169</c:v>
                </c:pt>
                <c:pt idx="6">
                  <c:v>1.8126155740732999</c:v>
                </c:pt>
                <c:pt idx="7">
                  <c:v>1.7320508075688774</c:v>
                </c:pt>
                <c:pt idx="8">
                  <c:v>1.6383040885779836</c:v>
                </c:pt>
                <c:pt idx="9">
                  <c:v>1.532088886237956</c:v>
                </c:pt>
                <c:pt idx="10">
                  <c:v>1.4142135623730951</c:v>
                </c:pt>
                <c:pt idx="11">
                  <c:v>1.2855752193730787</c:v>
                </c:pt>
                <c:pt idx="12">
                  <c:v>1.1471528727020923</c:v>
                </c:pt>
                <c:pt idx="13">
                  <c:v>1.0000000000000002</c:v>
                </c:pt>
                <c:pt idx="14">
                  <c:v>0.8452365234813989</c:v>
                </c:pt>
                <c:pt idx="15">
                  <c:v>0.6840402866513376</c:v>
                </c:pt>
                <c:pt idx="16">
                  <c:v>0.5176380902050415</c:v>
                </c:pt>
                <c:pt idx="17">
                  <c:v>0.34729635533386083</c:v>
                </c:pt>
                <c:pt idx="18">
                  <c:v>0.17431148549531628</c:v>
                </c:pt>
                <c:pt idx="19">
                  <c:v>1.22514845490862E-16</c:v>
                </c:pt>
                <c:pt idx="20">
                  <c:v>-0.17431148549531647</c:v>
                </c:pt>
                <c:pt idx="21">
                  <c:v>-0.3472963553338606</c:v>
                </c:pt>
                <c:pt idx="22">
                  <c:v>-0.5176380902050417</c:v>
                </c:pt>
                <c:pt idx="23">
                  <c:v>-0.6840402866513374</c:v>
                </c:pt>
                <c:pt idx="24">
                  <c:v>-0.8452365234813987</c:v>
                </c:pt>
                <c:pt idx="25">
                  <c:v>-0.9999999999999996</c:v>
                </c:pt>
                <c:pt idx="26">
                  <c:v>-1.1471528727020923</c:v>
                </c:pt>
                <c:pt idx="27">
                  <c:v>-1.2855752193730787</c:v>
                </c:pt>
                <c:pt idx="28">
                  <c:v>-1.414213562373095</c:v>
                </c:pt>
                <c:pt idx="29">
                  <c:v>-1.5320888862379558</c:v>
                </c:pt>
                <c:pt idx="30">
                  <c:v>-1.6383040885779838</c:v>
                </c:pt>
                <c:pt idx="31">
                  <c:v>-1.7320508075688774</c:v>
                </c:pt>
                <c:pt idx="32">
                  <c:v>-1.8126155740732999</c:v>
                </c:pt>
                <c:pt idx="33">
                  <c:v>-1.8793852415718166</c:v>
                </c:pt>
                <c:pt idx="34">
                  <c:v>-1.9318516525781364</c:v>
                </c:pt>
                <c:pt idx="35">
                  <c:v>-1.969615506024416</c:v>
                </c:pt>
                <c:pt idx="36">
                  <c:v>-1.992389396183491</c:v>
                </c:pt>
                <c:pt idx="37">
                  <c:v>-2</c:v>
                </c:pt>
                <c:pt idx="38">
                  <c:v>-2</c:v>
                </c:pt>
              </c:numCache>
            </c:numRef>
          </c:xVal>
          <c:yVal>
            <c:numRef>
              <c:f>'Spur Data'!$I$8:$I$46</c:f>
              <c:numCache>
                <c:ptCount val="39"/>
                <c:pt idx="0">
                  <c:v>-10</c:v>
                </c:pt>
                <c:pt idx="1">
                  <c:v>0</c:v>
                </c:pt>
                <c:pt idx="2">
                  <c:v>0.17431148549531633</c:v>
                </c:pt>
                <c:pt idx="3">
                  <c:v>0.34729635533386066</c:v>
                </c:pt>
                <c:pt idx="4">
                  <c:v>0.5176380902050415</c:v>
                </c:pt>
                <c:pt idx="5">
                  <c:v>0.6840402866513374</c:v>
                </c:pt>
                <c:pt idx="6">
                  <c:v>0.8452365234813989</c:v>
                </c:pt>
                <c:pt idx="7">
                  <c:v>0.9999999999999999</c:v>
                </c:pt>
                <c:pt idx="8">
                  <c:v>1.147152872702092</c:v>
                </c:pt>
                <c:pt idx="9">
                  <c:v>1.2855752193730785</c:v>
                </c:pt>
                <c:pt idx="10">
                  <c:v>1.414213562373095</c:v>
                </c:pt>
                <c:pt idx="11">
                  <c:v>1.532088886237956</c:v>
                </c:pt>
                <c:pt idx="12">
                  <c:v>1.6383040885779836</c:v>
                </c:pt>
                <c:pt idx="13">
                  <c:v>1.7320508075688772</c:v>
                </c:pt>
                <c:pt idx="14">
                  <c:v>1.8126155740732999</c:v>
                </c:pt>
                <c:pt idx="15">
                  <c:v>1.8793852415718166</c:v>
                </c:pt>
                <c:pt idx="16">
                  <c:v>1.9318516525781366</c:v>
                </c:pt>
                <c:pt idx="17">
                  <c:v>1.969615506024416</c:v>
                </c:pt>
                <c:pt idx="18">
                  <c:v>1.992389396183491</c:v>
                </c:pt>
                <c:pt idx="19">
                  <c:v>2</c:v>
                </c:pt>
                <c:pt idx="20">
                  <c:v>1.992389396183491</c:v>
                </c:pt>
                <c:pt idx="21">
                  <c:v>1.969615506024416</c:v>
                </c:pt>
                <c:pt idx="22">
                  <c:v>1.9318516525781366</c:v>
                </c:pt>
                <c:pt idx="23">
                  <c:v>1.8793852415718169</c:v>
                </c:pt>
                <c:pt idx="24">
                  <c:v>1.8126155740733</c:v>
                </c:pt>
                <c:pt idx="25">
                  <c:v>1.7320508075688774</c:v>
                </c:pt>
                <c:pt idx="26">
                  <c:v>1.6383040885779834</c:v>
                </c:pt>
                <c:pt idx="27">
                  <c:v>1.532088886237956</c:v>
                </c:pt>
                <c:pt idx="28">
                  <c:v>1.4142135623730951</c:v>
                </c:pt>
                <c:pt idx="29">
                  <c:v>1.285575219373079</c:v>
                </c:pt>
                <c:pt idx="30">
                  <c:v>1.1471528727020919</c:v>
                </c:pt>
                <c:pt idx="31">
                  <c:v>0.9999999999999999</c:v>
                </c:pt>
                <c:pt idx="32">
                  <c:v>0.845236523481399</c:v>
                </c:pt>
                <c:pt idx="33">
                  <c:v>0.6840402866513378</c:v>
                </c:pt>
                <c:pt idx="34">
                  <c:v>0.517638090205042</c:v>
                </c:pt>
                <c:pt idx="35">
                  <c:v>0.34729635533386055</c:v>
                </c:pt>
                <c:pt idx="36">
                  <c:v>0.1743114854953164</c:v>
                </c:pt>
                <c:pt idx="37">
                  <c:v>0</c:v>
                </c:pt>
                <c:pt idx="38">
                  <c:v>-10</c:v>
                </c:pt>
              </c:numCache>
            </c:numRef>
          </c:yVal>
          <c:smooth val="0"/>
        </c:ser>
        <c:ser>
          <c:idx val="1"/>
          <c:order val="2"/>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Data'!$R$9:$R$29</c:f>
              <c:numCache>
                <c:ptCount val="21"/>
                <c:pt idx="0">
                  <c:v>12.297560733739068</c:v>
                </c:pt>
                <c:pt idx="1">
                  <c:v>11.56044036065977</c:v>
                </c:pt>
                <c:pt idx="2">
                  <c:v>10.716876039163397</c:v>
                </c:pt>
                <c:pt idx="3">
                  <c:v>9.774634974851338</c:v>
                </c:pt>
                <c:pt idx="4">
                  <c:v>8.742392949624376</c:v>
                </c:pt>
                <c:pt idx="5">
                  <c:v>7.629654438524923</c:v>
                </c:pt>
                <c:pt idx="6">
                  <c:v>6.446665096301586</c:v>
                </c:pt>
                <c:pt idx="7">
                  <c:v>5.204317419485038</c:v>
                </c:pt>
                <c:pt idx="8">
                  <c:v>3.914050452601401</c:v>
                </c:pt>
                <c:pt idx="9">
                  <c:v>2.587744461988502</c:v>
                </c:pt>
                <c:pt idx="10">
                  <c:v>1.2376115470167495</c:v>
                </c:pt>
                <c:pt idx="11">
                  <c:v>-0.12391680407691115</c:v>
                </c:pt>
                <c:pt idx="12">
                  <c:v>-1.4843041784006852</c:v>
                </c:pt>
                <c:pt idx="13">
                  <c:v>-2.8310246687242073</c:v>
                </c:pt>
                <c:pt idx="14">
                  <c:v>-4.151678207062874</c:v>
                </c:pt>
                <c:pt idx="15">
                  <c:v>-5.434104739584291</c:v>
                </c:pt>
                <c:pt idx="16">
                  <c:v>-6.6664961915596725</c:v>
                </c:pt>
                <c:pt idx="17">
                  <c:v>-7.837505191431251</c:v>
                </c:pt>
                <c:pt idx="18">
                  <c:v>-8.936349552907718</c:v>
                </c:pt>
                <c:pt idx="19">
                  <c:v>-9.952911553057914</c:v>
                </c:pt>
                <c:pt idx="20">
                  <c:v>-10.87783109228952</c:v>
                </c:pt>
              </c:numCache>
            </c:numRef>
          </c:xVal>
          <c:yVal>
            <c:numRef>
              <c:f>'Spur Data'!$S$9:$S$29</c:f>
              <c:numCache>
                <c:ptCount val="21"/>
                <c:pt idx="0">
                  <c:v>7.100000000000022</c:v>
                </c:pt>
                <c:pt idx="1">
                  <c:v>8.245981971095372</c:v>
                </c:pt>
                <c:pt idx="2">
                  <c:v>9.316038211665234</c:v>
                </c:pt>
                <c:pt idx="3">
                  <c:v>10.300316068374517</c:v>
                </c:pt>
                <c:pt idx="4">
                  <c:v>11.189752701215488</c:v>
                </c:pt>
                <c:pt idx="5">
                  <c:v>11.976158530543016</c:v>
                </c:pt>
                <c:pt idx="6">
                  <c:v>12.652292643474864</c:v>
                </c:pt>
                <c:pt idx="7">
                  <c:v>13.211929465344792</c:v>
                </c:pt>
                <c:pt idx="8">
                  <c:v>13.649916082324172</c:v>
                </c:pt>
                <c:pt idx="9">
                  <c:v>13.9622196874082</c:v>
                </c:pt>
                <c:pt idx="10">
                  <c:v>14.145964712902831</c:v>
                </c:pt>
                <c:pt idx="11">
                  <c:v>14.199459307511278</c:v>
                </c:pt>
                <c:pt idx="12">
                  <c:v>14.122210914229527</c:v>
                </c:pt>
                <c:pt idx="13">
                  <c:v>13.914930805615825</c:v>
                </c:pt>
                <c:pt idx="14">
                  <c:v>13.579527534675147</c:v>
                </c:pt>
                <c:pt idx="15">
                  <c:v>13.119089361660313</c:v>
                </c:pt>
                <c:pt idx="16">
                  <c:v>12.537855818596801</c:v>
                </c:pt>
                <c:pt idx="17">
                  <c:v>11.841178673353827</c:v>
                </c:pt>
                <c:pt idx="18">
                  <c:v>11.035472652689023</c:v>
                </c:pt>
                <c:pt idx="19">
                  <c:v>10.128156377989411</c:v>
                </c:pt>
                <c:pt idx="20">
                  <c:v>9.127584057548889</c:v>
                </c:pt>
              </c:numCache>
            </c:numRef>
          </c:yVal>
          <c:smooth val="0"/>
        </c:ser>
        <c:ser>
          <c:idx val="2"/>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Data'!$V$9:$V$29</c:f>
              <c:numCache>
                <c:ptCount val="21"/>
                <c:pt idx="0">
                  <c:v>14.895636945092384</c:v>
                </c:pt>
                <c:pt idx="1">
                  <c:v>14.002786915728727</c:v>
                </c:pt>
                <c:pt idx="2">
                  <c:v>12.981004779831713</c:v>
                </c:pt>
                <c:pt idx="3">
                  <c:v>11.839698701932601</c:v>
                </c:pt>
                <c:pt idx="4">
                  <c:v>10.58937737560135</c:v>
                </c:pt>
                <c:pt idx="5">
                  <c:v>9.241553263565395</c:v>
                </c:pt>
                <c:pt idx="6">
                  <c:v>7.808636595520226</c:v>
                </c:pt>
                <c:pt idx="7">
                  <c:v>6.30382109965793</c:v>
                </c:pt>
                <c:pt idx="8">
                  <c:v>4.740962520052398</c:v>
                </c:pt>
                <c:pt idx="9">
                  <c:v>3.1344510384649444</c:v>
                </c:pt>
                <c:pt idx="10">
                  <c:v>1.4990787752597239</c:v>
                </c:pt>
                <c:pt idx="11">
                  <c:v>-0.15009641057203316</c:v>
                </c:pt>
                <c:pt idx="12">
                  <c:v>-1.797889568203646</c:v>
                </c:pt>
                <c:pt idx="13">
                  <c:v>-3.4291284719757984</c:v>
                </c:pt>
                <c:pt idx="14">
                  <c:v>-5.028793321231084</c:v>
                </c:pt>
                <c:pt idx="15">
                  <c:v>-6.582155036679561</c:v>
                </c:pt>
                <c:pt idx="16">
                  <c:v>-8.074910879917345</c:v>
                </c:pt>
                <c:pt idx="17">
                  <c:v>-9.493316147367425</c:v>
                </c:pt>
                <c:pt idx="18">
                  <c:v>-10.824310726057229</c:v>
                </c:pt>
                <c:pt idx="19">
                  <c:v>-12.055639345957466</c:v>
                </c:pt>
                <c:pt idx="20">
                  <c:v>-13.175964421646455</c:v>
                </c:pt>
              </c:numCache>
            </c:numRef>
          </c:xVal>
          <c:yVal>
            <c:numRef>
              <c:f>'Spur Data'!$W$9:$W$29</c:f>
              <c:numCache>
                <c:ptCount val="21"/>
                <c:pt idx="0">
                  <c:v>8.600000000000021</c:v>
                </c:pt>
                <c:pt idx="1">
                  <c:v>9.98809083822819</c:v>
                </c:pt>
                <c:pt idx="2">
                  <c:v>11.284215298636754</c:v>
                </c:pt>
                <c:pt idx="3">
                  <c:v>12.476439181411381</c:v>
                </c:pt>
                <c:pt idx="4">
                  <c:v>13.553784962035655</c:v>
                </c:pt>
                <c:pt idx="5">
                  <c:v>14.506332867981673</c:v>
                </c:pt>
                <c:pt idx="6">
                  <c:v>15.325312216039967</c:v>
                </c:pt>
                <c:pt idx="7">
                  <c:v>16.003182169290866</c:v>
                </c:pt>
                <c:pt idx="8">
                  <c:v>16.53370117013913</c:v>
                </c:pt>
                <c:pt idx="9">
                  <c:v>16.911984410100064</c:v>
                </c:pt>
                <c:pt idx="10">
                  <c:v>17.134548807178067</c:v>
                </c:pt>
                <c:pt idx="11">
                  <c:v>17.199345076703793</c:v>
                </c:pt>
                <c:pt idx="12">
                  <c:v>17.105776600334345</c:v>
                </c:pt>
                <c:pt idx="13">
                  <c:v>16.854704919478312</c:v>
                </c:pt>
                <c:pt idx="14">
                  <c:v>16.448441802564254</c:v>
                </c:pt>
                <c:pt idx="15">
                  <c:v>15.890727959194175</c:v>
                </c:pt>
                <c:pt idx="16">
                  <c:v>15.186698597173583</c:v>
                </c:pt>
                <c:pt idx="17">
                  <c:v>14.342836139555331</c:v>
                </c:pt>
                <c:pt idx="18">
                  <c:v>13.366910537059937</c:v>
                </c:pt>
                <c:pt idx="19">
                  <c:v>12.267907725451956</c:v>
                </c:pt>
                <c:pt idx="20">
                  <c:v>11.055946886608508</c:v>
                </c:pt>
              </c:numCache>
            </c:numRef>
          </c:y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Data'!$AD$9:$AD$12</c:f>
              <c:numCache>
                <c:ptCount val="4"/>
                <c:pt idx="0">
                  <c:v>3.464101615137755</c:v>
                </c:pt>
                <c:pt idx="1">
                  <c:v>3.464101615137755</c:v>
                </c:pt>
                <c:pt idx="2">
                  <c:v>14.895636945092384</c:v>
                </c:pt>
                <c:pt idx="3">
                  <c:v>14.895636945092384</c:v>
                </c:pt>
              </c:numCache>
            </c:numRef>
          </c:xVal>
          <c:yVal>
            <c:numRef>
              <c:f>'Spur Data'!$AE$9:$AE$12</c:f>
              <c:numCache>
                <c:ptCount val="4"/>
                <c:pt idx="0">
                  <c:v>1.9999999999999998</c:v>
                </c:pt>
                <c:pt idx="1">
                  <c:v>1.9999999999999998</c:v>
                </c:pt>
                <c:pt idx="2">
                  <c:v>8.600000000000021</c:v>
                </c:pt>
                <c:pt idx="3">
                  <c:v>8.600000000000021</c:v>
                </c:pt>
              </c:numCache>
            </c:numRef>
          </c:yVal>
          <c:smooth val="0"/>
        </c:ser>
        <c:ser>
          <c:idx val="5"/>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Data'!$AD$14:$AD$17</c:f>
              <c:numCache>
                <c:ptCount val="4"/>
                <c:pt idx="0">
                  <c:v>-3.0641777724759116</c:v>
                </c:pt>
                <c:pt idx="1">
                  <c:v>-3.0641777724759116</c:v>
                </c:pt>
                <c:pt idx="2">
                  <c:v>-13.175964421646455</c:v>
                </c:pt>
                <c:pt idx="3">
                  <c:v>-13.175964421646455</c:v>
                </c:pt>
              </c:numCache>
            </c:numRef>
          </c:xVal>
          <c:yVal>
            <c:numRef>
              <c:f>'Spur Data'!$AE$14:$AE$17</c:f>
              <c:numCache>
                <c:ptCount val="4"/>
                <c:pt idx="0">
                  <c:v>2.571150438746158</c:v>
                </c:pt>
                <c:pt idx="1">
                  <c:v>2.571150438746158</c:v>
                </c:pt>
                <c:pt idx="2">
                  <c:v>11.055946886608508</c:v>
                </c:pt>
                <c:pt idx="3">
                  <c:v>11.055946886608508</c:v>
                </c:pt>
              </c:numCache>
            </c:numRef>
          </c:yVal>
          <c:smooth val="0"/>
        </c:ser>
        <c:ser>
          <c:idx val="6"/>
          <c:order val="6"/>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Data'!$AD$19:$AD$20</c:f>
              <c:numCache>
                <c:ptCount val="2"/>
                <c:pt idx="0">
                  <c:v>12.297560733739068</c:v>
                </c:pt>
                <c:pt idx="1">
                  <c:v>12.297560733739068</c:v>
                </c:pt>
              </c:numCache>
            </c:numRef>
          </c:xVal>
          <c:yVal>
            <c:numRef>
              <c:f>'Spur Data'!$AE$19:$AE$20</c:f>
              <c:numCache>
                <c:ptCount val="2"/>
                <c:pt idx="0">
                  <c:v>7.100000000000022</c:v>
                </c:pt>
                <c:pt idx="1">
                  <c:v>7.100000000000022</c:v>
                </c:pt>
              </c:numCache>
            </c:numRef>
          </c:yVal>
          <c:smooth val="0"/>
        </c:ser>
        <c:ser>
          <c:idx val="7"/>
          <c:order val="7"/>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Data'!$AD$22:$AD$23</c:f>
              <c:numCache>
                <c:ptCount val="2"/>
                <c:pt idx="0">
                  <c:v>-10.87783109228952</c:v>
                </c:pt>
                <c:pt idx="1">
                  <c:v>-10.87783109228952</c:v>
                </c:pt>
              </c:numCache>
            </c:numRef>
          </c:xVal>
          <c:yVal>
            <c:numRef>
              <c:f>'Spur Data'!$AE$22:$AE$23</c:f>
              <c:numCache>
                <c:ptCount val="2"/>
                <c:pt idx="0">
                  <c:v>9.127584057548889</c:v>
                </c:pt>
                <c:pt idx="1">
                  <c:v>9.127584057548889</c:v>
                </c:pt>
              </c:numCache>
            </c:numRef>
          </c:yVal>
          <c:smooth val="0"/>
        </c:ser>
        <c:axId val="24126998"/>
        <c:axId val="49682823"/>
      </c:scatterChart>
      <c:valAx>
        <c:axId val="24126998"/>
        <c:scaling>
          <c:orientation val="minMax"/>
        </c:scaling>
        <c:axPos val="b"/>
        <c:delete val="0"/>
        <c:numFmt formatCode="General" sourceLinked="1"/>
        <c:majorTickMark val="out"/>
        <c:minorTickMark val="none"/>
        <c:tickLblPos val="nextTo"/>
        <c:crossAx val="49682823"/>
        <c:crossesAt val="-40"/>
        <c:crossBetween val="midCat"/>
        <c:dispUnits/>
      </c:valAx>
      <c:valAx>
        <c:axId val="49682823"/>
        <c:scaling>
          <c:orientation val="minMax"/>
        </c:scaling>
        <c:axPos val="l"/>
        <c:delete val="0"/>
        <c:numFmt formatCode="General" sourceLinked="1"/>
        <c:majorTickMark val="out"/>
        <c:minorTickMark val="none"/>
        <c:tickLblPos val="nextTo"/>
        <c:crossAx val="24126998"/>
        <c:crossesAt val="-40"/>
        <c:crossBetween val="midCat"/>
        <c:dispUnits/>
      </c:valAx>
      <c:spPr>
        <a:noFill/>
      </c:spPr>
    </c:plotArea>
    <c:legend>
      <c:legendPos val="r"/>
      <c:layout>
        <c:manualLayout>
          <c:xMode val="edge"/>
          <c:yMode val="edge"/>
          <c:x val="0.7595"/>
          <c:y val="0.03675"/>
          <c:w val="0.19875"/>
          <c:h val="0.17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65"/>
          <c:w val="0.70175"/>
          <c:h val="0.967"/>
        </c:manualLayout>
      </c:layout>
      <c:scatterChart>
        <c:scatterStyle val="lineMarker"/>
        <c:varyColors val="0"/>
        <c:ser>
          <c:idx val="8"/>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Data'!$J$8:$J$46</c:f>
              <c:numCache>
                <c:ptCount val="39"/>
                <c:pt idx="0">
                  <c:v>334224.51825713215</c:v>
                </c:pt>
                <c:pt idx="1">
                  <c:v>334214.85982875974</c:v>
                </c:pt>
                <c:pt idx="2">
                  <c:v>334214.6894991352</c:v>
                </c:pt>
                <c:pt idx="3">
                  <c:v>334214.5165215722</c:v>
                </c:pt>
                <c:pt idx="4">
                  <c:v>334214.3422125345</c:v>
                </c:pt>
                <c:pt idx="5">
                  <c:v>334214.16789861914</c:v>
                </c:pt>
                <c:pt idx="6">
                  <c:v>334213.99490646017</c:v>
                </c:pt>
                <c:pt idx="7">
                  <c:v>334213.82455263246</c:v>
                </c:pt>
                <c:pt idx="8">
                  <c:v>334213.6581336315</c:v>
                </c:pt>
                <c:pt idx="9">
                  <c:v>334213.49691600644</c:v>
                </c:pt>
                <c:pt idx="10">
                  <c:v>334213.3421267206</c:v>
                </c:pt>
                <c:pt idx="11">
                  <c:v>334213.194943814</c:v>
                </c:pt>
                <c:pt idx="12">
                  <c:v>334213.0564874374</c:v>
                </c:pt>
                <c:pt idx="13">
                  <c:v>334212.92781132745</c:v>
                </c:pt>
                <c:pt idx="14">
                  <c:v>334212.80989478703</c:v>
                </c:pt>
                <c:pt idx="15">
                  <c:v>334212.70363523223</c:v>
                </c:pt>
                <c:pt idx="16">
                  <c:v>334212.6098413624</c:v>
                </c:pt>
                <c:pt idx="17">
                  <c:v>334212.52922700555</c:v>
                </c:pt>
                <c:pt idx="18">
                  <c:v>334212.46240568557</c:v>
                </c:pt>
                <c:pt idx="19">
                  <c:v>334212.4098859531</c:v>
                </c:pt>
                <c:pt idx="20">
                  <c:v>334212.37206751504</c:v>
                </c:pt>
                <c:pt idx="21">
                  <c:v>334212.34923819243</c:v>
                </c:pt>
                <c:pt idx="22">
                  <c:v>334212.34157173027</c:v>
                </c:pt>
                <c:pt idx="23">
                  <c:v>334212.349126475</c:v>
                </c:pt>
                <c:pt idx="24">
                  <c:v>334212.37184493034</c:v>
                </c:pt>
                <c:pt idx="25">
                  <c:v>334212.4095541953</c:v>
                </c:pt>
                <c:pt idx="26">
                  <c:v>334212.4619672795</c:v>
                </c:pt>
                <c:pt idx="27">
                  <c:v>334212.52868528763</c:v>
                </c:pt>
                <c:pt idx="28">
                  <c:v>334212.6092004555</c:v>
                </c:pt>
                <c:pt idx="29">
                  <c:v>334212.702900014</c:v>
                </c:pt>
                <c:pt idx="30">
                  <c:v>334212.809070853</c:v>
                </c:pt>
                <c:pt idx="31">
                  <c:v>334212.92690494825</c:v>
                </c:pt>
                <c:pt idx="32">
                  <c:v>334213.0555055111</c:v>
                </c:pt>
                <c:pt idx="33">
                  <c:v>334213.1938938136</c:v>
                </c:pt>
                <c:pt idx="34">
                  <c:v>334213.3410166373</c:v>
                </c:pt>
                <c:pt idx="35">
                  <c:v>334213.49575428857</c:v>
                </c:pt>
                <c:pt idx="36">
                  <c:v>334213.6569291206</c:v>
                </c:pt>
                <c:pt idx="37">
                  <c:v>334213.82331449544</c:v>
                </c:pt>
                <c:pt idx="38">
                  <c:v>334223.48174286785</c:v>
                </c:pt>
              </c:numCache>
            </c:numRef>
          </c:xVal>
          <c:yVal>
            <c:numRef>
              <c:f>'Spur Data'!$K$8:$K$46</c:f>
              <c:numCache>
                <c:ptCount val="39"/>
                <c:pt idx="0">
                  <c:v>6243633.831685675</c:v>
                </c:pt>
                <c:pt idx="1">
                  <c:v>6243636.422971336</c:v>
                </c:pt>
                <c:pt idx="2">
                  <c:v>6243636.460789774</c:v>
                </c:pt>
                <c:pt idx="3">
                  <c:v>6243636.483619096</c:v>
                </c:pt>
                <c:pt idx="4">
                  <c:v>6243636.491285559</c:v>
                </c:pt>
                <c:pt idx="5">
                  <c:v>6243636.483730814</c:v>
                </c:pt>
                <c:pt idx="6">
                  <c:v>6243636.461012359</c:v>
                </c:pt>
                <c:pt idx="7">
                  <c:v>6243636.423303094</c:v>
                </c:pt>
                <c:pt idx="8">
                  <c:v>6243636.370890009</c:v>
                </c:pt>
                <c:pt idx="9">
                  <c:v>6243636.304172002</c:v>
                </c:pt>
                <c:pt idx="10">
                  <c:v>6243636.223656833</c:v>
                </c:pt>
                <c:pt idx="11">
                  <c:v>6243636.1299572745</c:v>
                </c:pt>
                <c:pt idx="12">
                  <c:v>6243636.023786436</c:v>
                </c:pt>
                <c:pt idx="13">
                  <c:v>6243635.905952341</c:v>
                </c:pt>
                <c:pt idx="14">
                  <c:v>6243635.777351777</c:v>
                </c:pt>
                <c:pt idx="15">
                  <c:v>6243635.638963475</c:v>
                </c:pt>
                <c:pt idx="16">
                  <c:v>6243635.491840651</c:v>
                </c:pt>
                <c:pt idx="17">
                  <c:v>6243635.337103</c:v>
                </c:pt>
                <c:pt idx="18">
                  <c:v>6243635.175928168</c:v>
                </c:pt>
                <c:pt idx="19">
                  <c:v>6243635.009542793</c:v>
                </c:pt>
                <c:pt idx="20">
                  <c:v>6243634.839213168</c:v>
                </c:pt>
                <c:pt idx="21">
                  <c:v>6243634.666235605</c:v>
                </c:pt>
                <c:pt idx="22">
                  <c:v>6243634.491926568</c:v>
                </c:pt>
                <c:pt idx="23">
                  <c:v>6243634.317612653</c:v>
                </c:pt>
                <c:pt idx="24">
                  <c:v>6243634.144620494</c:v>
                </c:pt>
                <c:pt idx="25">
                  <c:v>6243633.974266666</c:v>
                </c:pt>
                <c:pt idx="26">
                  <c:v>6243633.807847665</c:v>
                </c:pt>
                <c:pt idx="27">
                  <c:v>6243633.64663004</c:v>
                </c:pt>
                <c:pt idx="28">
                  <c:v>6243633.491840754</c:v>
                </c:pt>
                <c:pt idx="29">
                  <c:v>6243633.344657848</c:v>
                </c:pt>
                <c:pt idx="30">
                  <c:v>6243633.20620147</c:v>
                </c:pt>
                <c:pt idx="31">
                  <c:v>6243633.0775253605</c:v>
                </c:pt>
                <c:pt idx="32">
                  <c:v>6243632.95960882</c:v>
                </c:pt>
                <c:pt idx="33">
                  <c:v>6243632.853349266</c:v>
                </c:pt>
                <c:pt idx="34">
                  <c:v>6243632.759555396</c:v>
                </c:pt>
                <c:pt idx="35">
                  <c:v>6243632.678941039</c:v>
                </c:pt>
                <c:pt idx="36">
                  <c:v>6243632.612119719</c:v>
                </c:pt>
                <c:pt idx="37">
                  <c:v>6243632.559599986</c:v>
                </c:pt>
                <c:pt idx="38">
                  <c:v>6243629.968314325</c:v>
                </c:pt>
              </c:numCache>
            </c:numRef>
          </c:yVal>
          <c:smooth val="0"/>
        </c:ser>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Data'!$P$9:$P$29</c:f>
              <c:numCache>
                <c:ptCount val="21"/>
                <c:pt idx="0">
                  <c:v>334213.3075336374</c:v>
                </c:pt>
                <c:pt idx="1">
                  <c:v>334212.9419428138</c:v>
                </c:pt>
                <c:pt idx="2">
                  <c:v>334212.58923921705</c:v>
                </c:pt>
                <c:pt idx="3">
                  <c:v>334212.25267040194</c:v>
                </c:pt>
                <c:pt idx="4">
                  <c:v>334211.93533536064</c:v>
                </c:pt>
                <c:pt idx="5">
                  <c:v>334211.64015598816</c:v>
                </c:pt>
                <c:pt idx="6">
                  <c:v>334211.3698501792</c:v>
                </c:pt>
                <c:pt idx="7">
                  <c:v>334211.12690680224</c:v>
                </c:pt>
                <c:pt idx="8">
                  <c:v>334210.91356278374</c:v>
                </c:pt>
                <c:pt idx="9">
                  <c:v>334210.73178251064</c:v>
                </c:pt>
                <c:pt idx="10">
                  <c:v>334210.5832397436</c:v>
                </c:pt>
                <c:pt idx="11">
                  <c:v>334210.4693022054</c:v>
                </c:pt>
                <c:pt idx="12">
                  <c:v>334210.3910189879</c:v>
                </c:pt>
                <c:pt idx="13">
                  <c:v>334210.3491108918</c:v>
                </c:pt>
                <c:pt idx="14">
                  <c:v>334210.34396379016</c:v>
                </c:pt>
                <c:pt idx="15">
                  <c:v>334210.3756250754</c:v>
                </c:pt>
                <c:pt idx="16">
                  <c:v>334210.4438032232</c:v>
                </c:pt>
                <c:pt idx="17">
                  <c:v>334210.5478704761</c:v>
                </c:pt>
                <c:pt idx="18">
                  <c:v>334210.686868624</c:v>
                </c:pt>
                <c:pt idx="19">
                  <c:v>334210.8595178273</c:v>
                </c:pt>
                <c:pt idx="20">
                  <c:v>334211.0642284005</c:v>
                </c:pt>
              </c:numCache>
            </c:numRef>
          </c:xVal>
          <c:yVal>
            <c:numRef>
              <c:f>'Spur Data'!$Q$9:$Q$29</c:f>
              <c:numCache>
                <c:ptCount val="21"/>
                <c:pt idx="0">
                  <c:v>6243638.355320525</c:v>
                </c:pt>
                <c:pt idx="1">
                  <c:v>6243638.238423126</c:v>
                </c:pt>
                <c:pt idx="2">
                  <c:v>6243638.087023572</c:v>
                </c:pt>
                <c:pt idx="3">
                  <c:v>6243637.902515889</c:v>
                </c:pt>
                <c:pt idx="4">
                  <c:v>6243637.686598952</c:v>
                </c:pt>
                <c:pt idx="5">
                  <c:v>6243637.441260838</c:v>
                </c:pt>
                <c:pt idx="6">
                  <c:v>6243637.168760523</c:v>
                </c:pt>
                <c:pt idx="7">
                  <c:v>6243636.871607081</c:v>
                </c:pt>
                <c:pt idx="8">
                  <c:v>6243636.552536584</c:v>
                </c:pt>
                <c:pt idx="9">
                  <c:v>6243636.214486906</c:v>
                </c:pt>
                <c:pt idx="10">
                  <c:v>6243635.860570676</c:v>
                </c:pt>
                <c:pt idx="11">
                  <c:v>6243635.494046611</c:v>
                </c:pt>
                <c:pt idx="12">
                  <c:v>6243635.118289522</c:v>
                </c:pt>
                <c:pt idx="13">
                  <c:v>6243634.7367592305</c:v>
                </c:pt>
                <c:pt idx="14">
                  <c:v>6243634.352968714</c:v>
                </c:pt>
                <c:pt idx="15">
                  <c:v>6243633.970451767</c:v>
                </c:pt>
                <c:pt idx="16">
                  <c:v>6243633.59273045</c:v>
                </c:pt>
                <c:pt idx="17">
                  <c:v>6243633.223282675</c:v>
                </c:pt>
                <c:pt idx="18">
                  <c:v>6243632.8655101685</c:v>
                </c:pt>
                <c:pt idx="19">
                  <c:v>6243632.522707156</c:v>
                </c:pt>
                <c:pt idx="20">
                  <c:v>6243632.198030034</c:v>
                </c:pt>
              </c:numCache>
            </c:numRef>
          </c:yVal>
          <c:smooth val="0"/>
        </c:ser>
        <c:ser>
          <c:idx val="1"/>
          <c:order val="2"/>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Data'!$T$9:$T$29</c:f>
              <c:numCache>
                <c:ptCount val="21"/>
                <c:pt idx="0">
                  <c:v>334210.67073676235</c:v>
                </c:pt>
                <c:pt idx="1">
                  <c:v>334209.37288933864</c:v>
                </c:pt>
                <c:pt idx="2">
                  <c:v>334208.1207915702</c:v>
                </c:pt>
                <c:pt idx="3">
                  <c:v>334206.9259722766</c:v>
                </c:pt>
                <c:pt idx="4">
                  <c:v>334205.7994328797</c:v>
                </c:pt>
                <c:pt idx="5">
                  <c:v>334204.7515461075</c:v>
                </c:pt>
                <c:pt idx="6">
                  <c:v>334203.7919604856</c:v>
                </c:pt>
                <c:pt idx="7">
                  <c:v>334202.92951149767</c:v>
                </c:pt>
                <c:pt idx="8">
                  <c:v>334202.1721402319</c:v>
                </c:pt>
                <c:pt idx="9">
                  <c:v>334201.52682026237</c:v>
                </c:pt>
                <c:pt idx="10">
                  <c:v>334200.99949343933</c:v>
                </c:pt>
                <c:pt idx="11">
                  <c:v>334200.595015179</c:v>
                </c:pt>
                <c:pt idx="12">
                  <c:v>334200.31710975675</c:v>
                </c:pt>
                <c:pt idx="13">
                  <c:v>334200.16833601537</c:v>
                </c:pt>
                <c:pt idx="14">
                  <c:v>334200.1500638045</c:v>
                </c:pt>
                <c:pt idx="15">
                  <c:v>334200.26246136747</c:v>
                </c:pt>
                <c:pt idx="16">
                  <c:v>334200.504493792</c:v>
                </c:pt>
                <c:pt idx="17">
                  <c:v>334200.87393253966</c:v>
                </c:pt>
                <c:pt idx="18">
                  <c:v>334201.3673759649</c:v>
                </c:pt>
                <c:pt idx="19">
                  <c:v>334201.9802806365</c:v>
                </c:pt>
                <c:pt idx="20">
                  <c:v>334202.7070031714</c:v>
                </c:pt>
              </c:numCache>
            </c:numRef>
          </c:xVal>
          <c:yVal>
            <c:numRef>
              <c:f>'Spur Data'!$U$9:$U$29</c:f>
              <c:numCache>
                <c:ptCount val="21"/>
                <c:pt idx="0">
                  <c:v>6243648.20860943</c:v>
                </c:pt>
                <c:pt idx="1">
                  <c:v>6243647.793623663</c:v>
                </c:pt>
                <c:pt idx="2">
                  <c:v>6243647.256155244</c:v>
                </c:pt>
                <c:pt idx="3">
                  <c:v>6243646.601152971</c:v>
                </c:pt>
                <c:pt idx="4">
                  <c:v>6243645.834647844</c:v>
                </c:pt>
                <c:pt idx="5">
                  <c:v>6243644.963697539</c:v>
                </c:pt>
                <c:pt idx="6">
                  <c:v>6243643.996321418</c:v>
                </c:pt>
                <c:pt idx="7">
                  <c:v>6243642.941426701</c:v>
                </c:pt>
                <c:pt idx="8">
                  <c:v>6243641.808726437</c:v>
                </c:pt>
                <c:pt idx="9">
                  <c:v>6243640.608650081</c:v>
                </c:pt>
                <c:pt idx="10">
                  <c:v>6243639.352247462</c:v>
                </c:pt>
                <c:pt idx="11">
                  <c:v>6243638.051087033</c:v>
                </c:pt>
                <c:pt idx="12">
                  <c:v>6243636.717149367</c:v>
                </c:pt>
                <c:pt idx="13">
                  <c:v>6243635.362716829</c:v>
                </c:pt>
                <c:pt idx="14">
                  <c:v>6243634.0002605</c:v>
                </c:pt>
                <c:pt idx="15">
                  <c:v>6243632.642325336</c:v>
                </c:pt>
                <c:pt idx="16">
                  <c:v>6243631.301414665</c:v>
                </c:pt>
                <c:pt idx="17">
                  <c:v>6243629.9898750605</c:v>
                </c:pt>
                <c:pt idx="18">
                  <c:v>6243628.719782659</c:v>
                </c:pt>
                <c:pt idx="19">
                  <c:v>6243627.502831968</c:v>
                </c:pt>
                <c:pt idx="20">
                  <c:v>6243626.350228185</c:v>
                </c:pt>
              </c:numCache>
            </c:numRef>
          </c:yVal>
          <c:smooth val="0"/>
        </c:ser>
        <c:ser>
          <c:idx val="2"/>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Data'!$X$9:$X$29</c:f>
              <c:numCache>
                <c:ptCount val="21"/>
                <c:pt idx="0">
                  <c:v>334209.8952082697</c:v>
                </c:pt>
                <c:pt idx="1">
                  <c:v>334208.3231677283</c:v>
                </c:pt>
                <c:pt idx="2">
                  <c:v>334206.8065422623</c:v>
                </c:pt>
                <c:pt idx="3">
                  <c:v>334205.3592963574</c:v>
                </c:pt>
                <c:pt idx="4">
                  <c:v>334203.99475567945</c:v>
                </c:pt>
                <c:pt idx="5">
                  <c:v>334202.72548437794</c:v>
                </c:pt>
                <c:pt idx="6">
                  <c:v>334201.5631693993</c:v>
                </c:pt>
                <c:pt idx="7">
                  <c:v>334200.5185128787</c:v>
                </c:pt>
                <c:pt idx="8">
                  <c:v>334199.601133599</c:v>
                </c:pt>
                <c:pt idx="9">
                  <c:v>334198.8194784247</c:v>
                </c:pt>
                <c:pt idx="10">
                  <c:v>334198.1807445263</c:v>
                </c:pt>
                <c:pt idx="11">
                  <c:v>334197.6908131124</c:v>
                </c:pt>
                <c:pt idx="12">
                  <c:v>334197.354195277</c:v>
                </c:pt>
                <c:pt idx="13">
                  <c:v>334197.1739904635</c:v>
                </c:pt>
                <c:pt idx="14">
                  <c:v>334197.1518579264</c:v>
                </c:pt>
                <c:pt idx="15">
                  <c:v>334197.2880014534</c:v>
                </c:pt>
                <c:pt idx="16">
                  <c:v>334197.5811674887</c:v>
                </c:pt>
                <c:pt idx="17">
                  <c:v>334198.028656676</c:v>
                </c:pt>
                <c:pt idx="18">
                  <c:v>334198.6263487122</c:v>
                </c:pt>
                <c:pt idx="19">
                  <c:v>334199.3687402862</c:v>
                </c:pt>
                <c:pt idx="20">
                  <c:v>334200.248995751</c:v>
                </c:pt>
              </c:numCache>
            </c:numRef>
          </c:xVal>
          <c:yVal>
            <c:numRef>
              <c:f>'Spur Data'!$Y$9:$Y$29</c:f>
              <c:numCache>
                <c:ptCount val="21"/>
                <c:pt idx="0">
                  <c:v>6243651.106635579</c:v>
                </c:pt>
                <c:pt idx="1">
                  <c:v>6243650.603976762</c:v>
                </c:pt>
                <c:pt idx="2">
                  <c:v>6243649.952958678</c:v>
                </c:pt>
                <c:pt idx="3">
                  <c:v>6243649.159575642</c:v>
                </c:pt>
                <c:pt idx="4">
                  <c:v>6243648.231132812</c:v>
                </c:pt>
                <c:pt idx="5">
                  <c:v>6243647.176178921</c:v>
                </c:pt>
                <c:pt idx="6">
                  <c:v>6243646.004427564</c:v>
                </c:pt>
                <c:pt idx="7">
                  <c:v>6243644.7266677655</c:v>
                </c:pt>
                <c:pt idx="8">
                  <c:v>6243643.354664629</c:v>
                </c:pt>
                <c:pt idx="9">
                  <c:v>6243641.901051016</c:v>
                </c:pt>
                <c:pt idx="10">
                  <c:v>6243640.379211222</c:v>
                </c:pt>
                <c:pt idx="11">
                  <c:v>6243638.803157745</c:v>
                </c:pt>
                <c:pt idx="12">
                  <c:v>6243637.187402261</c:v>
                </c:pt>
                <c:pt idx="13">
                  <c:v>6243635.546822006</c:v>
                </c:pt>
                <c:pt idx="14">
                  <c:v>6243633.89652279</c:v>
                </c:pt>
                <c:pt idx="15">
                  <c:v>6243632.251699916</c:v>
                </c:pt>
                <c:pt idx="16">
                  <c:v>6243630.627498258</c:v>
                </c:pt>
                <c:pt idx="17">
                  <c:v>6243629.038872821</c:v>
                </c:pt>
                <c:pt idx="18">
                  <c:v>6243627.500451039</c:v>
                </c:pt>
                <c:pt idx="19">
                  <c:v>6243626.026398088</c:v>
                </c:pt>
                <c:pt idx="20">
                  <c:v>6243624.6302864645</c:v>
                </c:pt>
              </c:numCache>
            </c:numRef>
          </c:yVal>
          <c:smooth val="0"/>
        </c:ser>
        <c:ser>
          <c:idx val="3"/>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Data'!$AF$9:$AF$12</c:f>
              <c:numCache>
                <c:ptCount val="4"/>
                <c:pt idx="0">
                  <c:v>334213.3075336374</c:v>
                </c:pt>
                <c:pt idx="1">
                  <c:v>334213.3075336374</c:v>
                </c:pt>
                <c:pt idx="2">
                  <c:v>334209.8952082697</c:v>
                </c:pt>
                <c:pt idx="3">
                  <c:v>334209.8952082697</c:v>
                </c:pt>
              </c:numCache>
            </c:numRef>
          </c:xVal>
          <c:yVal>
            <c:numRef>
              <c:f>'Spur Data'!$AG$9:$AG$12</c:f>
              <c:numCache>
                <c:ptCount val="4"/>
                <c:pt idx="0">
                  <c:v>6243638.355320525</c:v>
                </c:pt>
                <c:pt idx="1">
                  <c:v>6243638.355320525</c:v>
                </c:pt>
                <c:pt idx="2">
                  <c:v>6243651.106635579</c:v>
                </c:pt>
                <c:pt idx="3">
                  <c:v>6243651.106635579</c:v>
                </c:pt>
              </c:numCache>
            </c:numRef>
          </c:yVal>
          <c:smooth val="0"/>
        </c:ser>
        <c:ser>
          <c:idx val="4"/>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Data'!$AF$14:$AF$17</c:f>
              <c:numCache>
                <c:ptCount val="4"/>
                <c:pt idx="0">
                  <c:v>334211.0642284005</c:v>
                </c:pt>
                <c:pt idx="1">
                  <c:v>334211.0642284005</c:v>
                </c:pt>
                <c:pt idx="2">
                  <c:v>334200.248995751</c:v>
                </c:pt>
                <c:pt idx="3">
                  <c:v>334200.248995751</c:v>
                </c:pt>
              </c:numCache>
            </c:numRef>
          </c:xVal>
          <c:yVal>
            <c:numRef>
              <c:f>'Spur Data'!$AG$14:$AG$17</c:f>
              <c:numCache>
                <c:ptCount val="4"/>
                <c:pt idx="0">
                  <c:v>6243632.198030034</c:v>
                </c:pt>
                <c:pt idx="1">
                  <c:v>6243632.198030034</c:v>
                </c:pt>
                <c:pt idx="2">
                  <c:v>6243624.6302864645</c:v>
                </c:pt>
                <c:pt idx="3">
                  <c:v>6243624.6302864645</c:v>
                </c:pt>
              </c:numCache>
            </c:numRef>
          </c:yVal>
          <c:smooth val="0"/>
        </c:ser>
        <c:ser>
          <c:idx val="5"/>
          <c:order val="6"/>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Data'!$AF$19:$AF$20</c:f>
              <c:numCache>
                <c:ptCount val="2"/>
                <c:pt idx="0">
                  <c:v>334210.67073676235</c:v>
                </c:pt>
                <c:pt idx="1">
                  <c:v>334210.67073676235</c:v>
                </c:pt>
              </c:numCache>
            </c:numRef>
          </c:xVal>
          <c:yVal>
            <c:numRef>
              <c:f>'Spur Data'!$AG$19:$AG$20</c:f>
              <c:numCache>
                <c:ptCount val="2"/>
                <c:pt idx="0">
                  <c:v>6243648.20860943</c:v>
                </c:pt>
                <c:pt idx="1">
                  <c:v>6243648.20860943</c:v>
                </c:pt>
              </c:numCache>
            </c:numRef>
          </c:yVal>
          <c:smooth val="0"/>
        </c:ser>
        <c:ser>
          <c:idx val="6"/>
          <c:order val="7"/>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'Spur Data'!$AF$22:$AF$23</c:f>
              <c:numCache>
                <c:ptCount val="2"/>
                <c:pt idx="0">
                  <c:v>334202.7070031714</c:v>
                </c:pt>
                <c:pt idx="1">
                  <c:v>334202.7070031714</c:v>
                </c:pt>
              </c:numCache>
            </c:numRef>
          </c:xVal>
          <c:yVal>
            <c:numRef>
              <c:f>'Spur Data'!$AG$22:$AG$23</c:f>
              <c:numCache>
                <c:ptCount val="2"/>
                <c:pt idx="0">
                  <c:v>6243626.350228185</c:v>
                </c:pt>
                <c:pt idx="1">
                  <c:v>6243626.350228185</c:v>
                </c:pt>
              </c:numCache>
            </c:numRef>
          </c:yVal>
          <c:smooth val="0"/>
        </c:ser>
        <c:ser>
          <c:idx val="7"/>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0000"/>
                </a:solidFill>
              </a:ln>
            </c:spPr>
          </c:marker>
          <c:xVal>
            <c:numRef>
              <c:f>'Spur Data'!$D$5</c:f>
              <c:numCache>
                <c:ptCount val="1"/>
                <c:pt idx="0">
                  <c:v>334214.3415716276</c:v>
                </c:pt>
              </c:numCache>
            </c:numRef>
          </c:xVal>
          <c:yVal>
            <c:numRef>
              <c:f>'Spur Data'!$E$5</c:f>
              <c:numCache>
                <c:ptCount val="1"/>
                <c:pt idx="0">
                  <c:v>6243634.491285661</c:v>
                </c:pt>
              </c:numCache>
            </c:numRef>
          </c:yVal>
          <c:smooth val="0"/>
        </c:ser>
        <c:axId val="23729824"/>
        <c:axId val="33398689"/>
      </c:scatterChart>
      <c:valAx>
        <c:axId val="23729824"/>
        <c:scaling>
          <c:orientation val="minMax"/>
        </c:scaling>
        <c:axPos val="b"/>
        <c:delete val="0"/>
        <c:numFmt formatCode="General" sourceLinked="1"/>
        <c:majorTickMark val="out"/>
        <c:minorTickMark val="none"/>
        <c:tickLblPos val="nextTo"/>
        <c:crossAx val="33398689"/>
        <c:crosses val="autoZero"/>
        <c:crossBetween val="midCat"/>
        <c:dispUnits/>
      </c:valAx>
      <c:valAx>
        <c:axId val="33398689"/>
        <c:scaling>
          <c:orientation val="minMax"/>
        </c:scaling>
        <c:axPos val="l"/>
        <c:majorGridlines/>
        <c:delete val="0"/>
        <c:numFmt formatCode="General" sourceLinked="1"/>
        <c:majorTickMark val="out"/>
        <c:minorTickMark val="none"/>
        <c:tickLblPos val="nextTo"/>
        <c:crossAx val="23729824"/>
        <c:crosses val="autoZero"/>
        <c:crossBetween val="midCat"/>
        <c:dispUnits/>
      </c:valAx>
      <c:spPr>
        <a:noFill/>
        <a:ln w="254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2"/>
  <sheetViews>
    <sheetView workbookViewId="0" zoomScale="138"/>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11"/>
  <sheetViews>
    <sheetView workbookViewId="0" zoomScale="13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42"/>
  <dimension ref="B3:B16"/>
  <sheetViews>
    <sheetView workbookViewId="0" topLeftCell="A1">
      <selection activeCell="B8" sqref="B8"/>
    </sheetView>
  </sheetViews>
  <sheetFormatPr defaultColWidth="9.140625" defaultRowHeight="12.75"/>
  <cols>
    <col min="2" max="2" width="93.57421875" style="0" customWidth="1"/>
  </cols>
  <sheetData>
    <row r="3" ht="26.25">
      <c r="B3" s="9" t="s">
        <v>60</v>
      </c>
    </row>
    <row r="5" ht="18">
      <c r="B5" s="10" t="s">
        <v>59</v>
      </c>
    </row>
    <row r="7" s="12" customFormat="1" ht="89.25">
      <c r="B7" s="11" t="s">
        <v>61</v>
      </c>
    </row>
    <row r="9" ht="12.75">
      <c r="B9" s="1" t="s">
        <v>28</v>
      </c>
    </row>
    <row r="10" ht="12.75">
      <c r="B10" t="s">
        <v>62</v>
      </c>
    </row>
    <row r="12" ht="12.75">
      <c r="B12" s="13"/>
    </row>
    <row r="13" ht="12.75">
      <c r="B13" s="13"/>
    </row>
    <row r="14" ht="12.75">
      <c r="B14" s="13"/>
    </row>
    <row r="15" ht="12.75">
      <c r="B15" s="13"/>
    </row>
    <row r="16" ht="12.75">
      <c r="B16" s="1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B1:AJ55"/>
  <sheetViews>
    <sheetView tabSelected="1" workbookViewId="0" topLeftCell="A1">
      <selection activeCell="D5" sqref="D5:E5"/>
    </sheetView>
  </sheetViews>
  <sheetFormatPr defaultColWidth="9.140625" defaultRowHeight="12.75"/>
  <cols>
    <col min="1" max="1" width="3.8515625" style="0" customWidth="1"/>
    <col min="2" max="2" width="41.28125" style="0" customWidth="1"/>
    <col min="3" max="3" width="11.140625" style="0" customWidth="1"/>
    <col min="4" max="5" width="15.57421875" style="0" bestFit="1" customWidth="1"/>
    <col min="6" max="6" width="17.7109375" style="0" customWidth="1"/>
    <col min="8" max="8" width="13.140625" style="0" bestFit="1" customWidth="1"/>
    <col min="9" max="9" width="9.7109375" style="0" bestFit="1" customWidth="1"/>
    <col min="10" max="10" width="9.140625" style="7" customWidth="1"/>
  </cols>
  <sheetData>
    <row r="1" spans="2:10" ht="15.75">
      <c r="B1" s="14"/>
      <c r="C1" s="15" t="s">
        <v>16</v>
      </c>
      <c r="D1" s="15" t="s">
        <v>18</v>
      </c>
      <c r="E1" s="15" t="s">
        <v>17</v>
      </c>
      <c r="F1" s="1"/>
      <c r="G1" t="s">
        <v>21</v>
      </c>
      <c r="H1" t="s">
        <v>22</v>
      </c>
      <c r="I1" t="s">
        <v>23</v>
      </c>
      <c r="J1" s="7" t="s">
        <v>24</v>
      </c>
    </row>
    <row r="2" spans="2:12" ht="15.75">
      <c r="B2" s="15" t="s">
        <v>19</v>
      </c>
      <c r="C2" s="4">
        <v>1000</v>
      </c>
      <c r="D2" s="19">
        <v>334224</v>
      </c>
      <c r="E2" s="19">
        <v>6243631.9</v>
      </c>
      <c r="F2" s="4"/>
      <c r="G2">
        <f>(D3-D2)</f>
        <v>-49.20000000001164</v>
      </c>
      <c r="H2">
        <f>E3-E2</f>
        <v>13.199999999254942</v>
      </c>
      <c r="I2" s="6">
        <f>IF(G2&lt;0,270-180/PI()*ATAN(H2/G2),90-180/PI()*ATAN(H2/G2))</f>
        <v>285.0183606303379</v>
      </c>
      <c r="J2" s="8">
        <f>0-I2</f>
        <v>-285.0183606303379</v>
      </c>
      <c r="L2">
        <f>PI()/180</f>
        <v>0.017453292519943295</v>
      </c>
    </row>
    <row r="3" spans="2:6" ht="15.75">
      <c r="B3" s="15" t="s">
        <v>20</v>
      </c>
      <c r="C3" s="18"/>
      <c r="D3" s="19">
        <v>334174.8</v>
      </c>
      <c r="E3" s="19">
        <v>6243645.1</v>
      </c>
      <c r="F3" s="4"/>
    </row>
    <row r="4" spans="2:15" ht="15">
      <c r="B4" s="14"/>
      <c r="C4" s="18"/>
      <c r="D4" s="20"/>
      <c r="E4" s="20"/>
      <c r="I4">
        <f>IF(C6="N",-1,1)</f>
        <v>1</v>
      </c>
      <c r="N4" t="s">
        <v>39</v>
      </c>
      <c r="O4">
        <f>IF(C16=0,90-C14,0)</f>
        <v>30</v>
      </c>
    </row>
    <row r="5" spans="2:15" ht="15.75">
      <c r="B5" s="15" t="s">
        <v>33</v>
      </c>
      <c r="C5" s="4">
        <v>1010</v>
      </c>
      <c r="D5" s="21">
        <f>D2+(C5-C2)*COS(PI()/180*(90-I2))</f>
        <v>334214.3415716276</v>
      </c>
      <c r="E5" s="21">
        <f>E2+(C5-C2)*SIN(PI()/180*(90-I2))</f>
        <v>6243634.491285661</v>
      </c>
      <c r="F5" s="2"/>
      <c r="H5" t="s">
        <v>30</v>
      </c>
      <c r="I5">
        <v>10</v>
      </c>
      <c r="N5" t="s">
        <v>40</v>
      </c>
      <c r="O5">
        <f>IF(C17=0,90+C15,180)</f>
        <v>140</v>
      </c>
    </row>
    <row r="6" spans="2:10" ht="15.75">
      <c r="B6" s="15" t="s">
        <v>14</v>
      </c>
      <c r="C6" s="5" t="s">
        <v>15</v>
      </c>
      <c r="D6" s="14"/>
      <c r="E6" s="14"/>
      <c r="H6" t="s">
        <v>29</v>
      </c>
      <c r="I6">
        <f>C7/2</f>
        <v>2</v>
      </c>
      <c r="J6"/>
    </row>
    <row r="7" spans="2:25" ht="15.75">
      <c r="B7" s="15" t="s">
        <v>32</v>
      </c>
      <c r="C7" s="4">
        <v>4</v>
      </c>
      <c r="D7" s="14"/>
      <c r="E7" s="14"/>
      <c r="H7" t="s">
        <v>0</v>
      </c>
      <c r="I7" t="s">
        <v>1</v>
      </c>
      <c r="J7"/>
      <c r="M7" s="1"/>
      <c r="N7" s="1" t="s">
        <v>50</v>
      </c>
      <c r="O7" s="1"/>
      <c r="P7" s="1"/>
      <c r="Q7" s="1"/>
      <c r="R7" s="1" t="s">
        <v>51</v>
      </c>
      <c r="S7" s="1"/>
      <c r="T7" s="1"/>
      <c r="U7" s="1"/>
      <c r="V7" s="1" t="s">
        <v>52</v>
      </c>
      <c r="W7" s="1"/>
      <c r="X7" s="1"/>
      <c r="Y7" s="1"/>
    </row>
    <row r="8" spans="2:30" ht="15.75">
      <c r="B8" s="15" t="s">
        <v>4</v>
      </c>
      <c r="C8" s="4">
        <v>2</v>
      </c>
      <c r="D8" s="14"/>
      <c r="E8" s="14"/>
      <c r="G8" t="s">
        <v>31</v>
      </c>
      <c r="H8">
        <f>$I$4*I6</f>
        <v>2</v>
      </c>
      <c r="I8">
        <f>-1*$I$4*I5</f>
        <v>-10</v>
      </c>
      <c r="J8">
        <f>$D$5+H8*COS($L$2*$J$2)-I8*SIN($L$2*$J$2)</f>
        <v>334224.51825713215</v>
      </c>
      <c r="K8">
        <f>$E$5+I8*COS($L$2*$J$2)+H8*SIN($L$2*$J$2)</f>
        <v>6243633.831685675</v>
      </c>
      <c r="M8" s="1" t="s">
        <v>3</v>
      </c>
      <c r="N8" s="1" t="s">
        <v>0</v>
      </c>
      <c r="O8" s="1" t="s">
        <v>1</v>
      </c>
      <c r="P8" s="1" t="s">
        <v>18</v>
      </c>
      <c r="Q8" s="1" t="s">
        <v>17</v>
      </c>
      <c r="R8" s="1" t="s">
        <v>0</v>
      </c>
      <c r="S8" s="1" t="s">
        <v>1</v>
      </c>
      <c r="T8" s="1" t="s">
        <v>18</v>
      </c>
      <c r="U8" s="1" t="s">
        <v>17</v>
      </c>
      <c r="V8" s="1" t="s">
        <v>0</v>
      </c>
      <c r="W8" s="1" t="s">
        <v>1</v>
      </c>
      <c r="X8" s="1" t="s">
        <v>18</v>
      </c>
      <c r="Y8" s="1" t="s">
        <v>17</v>
      </c>
      <c r="AD8" t="s">
        <v>55</v>
      </c>
    </row>
    <row r="9" spans="2:36" ht="15.75">
      <c r="B9" s="15" t="s">
        <v>34</v>
      </c>
      <c r="C9" s="4">
        <v>436</v>
      </c>
      <c r="D9" s="14"/>
      <c r="E9" s="14"/>
      <c r="G9">
        <v>0</v>
      </c>
      <c r="H9">
        <f>$I$4*I6</f>
        <v>2</v>
      </c>
      <c r="I9">
        <v>0</v>
      </c>
      <c r="J9">
        <f>$D$5+H9*COS($L$2*$J$2)-I9*SIN($L$2*$J$2)</f>
        <v>334214.85982875974</v>
      </c>
      <c r="K9">
        <f>$E$5+I9*COS($L$2*$J$2)+H9*SIN($L$2*$J$2)</f>
        <v>6243636.422971336</v>
      </c>
      <c r="M9">
        <f>$O$4</f>
        <v>30</v>
      </c>
      <c r="N9">
        <f>$I$4*($I$6+$C$8*($C$9-$C$10))*COS($L$2*M9)</f>
        <v>3.464101615137755</v>
      </c>
      <c r="O9">
        <f>$I$4*($I$6+$C$8*($C$9-$C$10))*SIN($L$2*M9)</f>
        <v>1.9999999999999998</v>
      </c>
      <c r="P9">
        <f>$D$5+N9*COS($L$2*$J$2)-O9*SIN($L$2*$J$2)</f>
        <v>334213.3075336374</v>
      </c>
      <c r="Q9">
        <f>$E$5+O9*COS($L$2*$J$2)+N9*SIN($L$2*$J$2)</f>
        <v>6243638.355320525</v>
      </c>
      <c r="R9">
        <f>$I$4*($I$6+$C$8*($C$9-$C$11))*COS($L$2*$M9)</f>
        <v>12.297560733739068</v>
      </c>
      <c r="S9">
        <f>$I$4*($I$6+$C$8*($C$9-$C$11))*SIN($L$2*$M9)</f>
        <v>7.100000000000022</v>
      </c>
      <c r="T9">
        <f>$D$5+R9*COS($L$2*$J$2)-S9*SIN($L$2*$J$2)</f>
        <v>334210.67073676235</v>
      </c>
      <c r="U9">
        <f>$E$5+S9*COS($L$2*$J$2)+R9*SIN($L$2*$J$2)</f>
        <v>6243648.20860943</v>
      </c>
      <c r="V9">
        <f>$I$4*($I$6+$C$12+$C$8*($C$9-$C$11))*COS($L$2*$M9)</f>
        <v>14.895636945092384</v>
      </c>
      <c r="W9">
        <f>$I$4*($I$6+$C$12+$C$8*($C$9-$C$11))*SIN($L$2*$M9)</f>
        <v>8.600000000000021</v>
      </c>
      <c r="X9">
        <f>$D$5+V9*COS($L$2*$J$2)-W9*SIN($L$2*$J$2)</f>
        <v>334209.8952082697</v>
      </c>
      <c r="Y9">
        <f>$E$5+W9*COS($L$2*$J$2)+V9*SIN($L$2*$J$2)</f>
        <v>6243651.106635579</v>
      </c>
      <c r="AA9">
        <f>P9</f>
        <v>334213.3075336374</v>
      </c>
      <c r="AB9">
        <f>Q9</f>
        <v>6243638.355320525</v>
      </c>
      <c r="AD9">
        <f>N9</f>
        <v>3.464101615137755</v>
      </c>
      <c r="AE9">
        <f>O9</f>
        <v>1.9999999999999998</v>
      </c>
      <c r="AF9">
        <f>$D$5+AD9*COS($L$2*$J$2)-AE9*SIN($L$2*$J$2)</f>
        <v>334213.3075336374</v>
      </c>
      <c r="AG9">
        <f>$E$5+AE9*COS($L$2*$J$2)+AD9*SIN($L$2*$J$2)</f>
        <v>6243638.355320525</v>
      </c>
      <c r="AI9" t="s">
        <v>41</v>
      </c>
      <c r="AJ9">
        <f>C8</f>
        <v>2</v>
      </c>
    </row>
    <row r="10" spans="2:36" ht="15.75">
      <c r="B10" s="15" t="s">
        <v>5</v>
      </c>
      <c r="C10" s="4">
        <v>435</v>
      </c>
      <c r="D10" s="14"/>
      <c r="E10" s="14"/>
      <c r="G10">
        <v>5</v>
      </c>
      <c r="H10">
        <f>$I$4*$I$6*COS($L$2*G10)</f>
        <v>1.992389396183491</v>
      </c>
      <c r="I10">
        <f>$I$4*$I$6*SIN($L$2*G10)</f>
        <v>0.17431148549531633</v>
      </c>
      <c r="J10">
        <f>$D$5+H10*COS($L$2*$J$2)-I10*SIN($L$2*$J$2)</f>
        <v>334214.6894991352</v>
      </c>
      <c r="K10">
        <f>$E$5+I10*COS($L$2*$J$2)+H10*SIN($L$2*$J$2)</f>
        <v>6243636.460789774</v>
      </c>
      <c r="M10">
        <f>M9+($O$5-$O$4)/20</f>
        <v>35.5</v>
      </c>
      <c r="N10">
        <f aca="true" t="shared" si="0" ref="N10:N29">$I$4*($I$6+$C$8*($C$9-$C$10))*COS($L$2*M10)</f>
        <v>3.256462073425277</v>
      </c>
      <c r="O10">
        <f aca="true" t="shared" si="1" ref="O10:O29">$I$4*($I$6+$C$8*($C$9-$C$10))*SIN($L$2*M10)</f>
        <v>2.322811822843759</v>
      </c>
      <c r="P10">
        <f aca="true" t="shared" si="2" ref="P10:P29">$D$5+N10*COS($L$2*$J$2)-O10*SIN($L$2*$J$2)</f>
        <v>334212.9419428138</v>
      </c>
      <c r="Q10">
        <f aca="true" t="shared" si="3" ref="Q10:Q29">$E$5+O10*COS($L$2*$J$2)+N10*SIN($L$2*$J$2)</f>
        <v>6243638.238423126</v>
      </c>
      <c r="R10">
        <f aca="true" t="shared" si="4" ref="R10:R29">$I$4*($I$6+$C$8*($C$9-$C$11))*COS($L$2*$M10)</f>
        <v>11.56044036065977</v>
      </c>
      <c r="S10">
        <f aca="true" t="shared" si="5" ref="S10:S29">$I$4*($I$6+$C$8*($C$9-$C$11))*SIN($L$2*$M10)</f>
        <v>8.245981971095372</v>
      </c>
      <c r="T10">
        <f>$D$5+R10*COS($L$2*$J$2)-S10*SIN($L$2*$J$2)</f>
        <v>334209.37288933864</v>
      </c>
      <c r="U10">
        <f>$E$5+S10*COS($L$2*$J$2)+R10*SIN($L$2*$J$2)</f>
        <v>6243647.793623663</v>
      </c>
      <c r="V10">
        <f aca="true" t="shared" si="6" ref="V10:V29">$I$4*($I$6+$C$12+$C$8*($C$9-$C$11))*COS($L$2*$M10)</f>
        <v>14.002786915728727</v>
      </c>
      <c r="W10">
        <f aca="true" t="shared" si="7" ref="W10:W29">$I$4*($I$6+$C$12+$C$8*($C$9-$C$11))*SIN($L$2*$M10)</f>
        <v>9.98809083822819</v>
      </c>
      <c r="X10">
        <f>$D$5+V10*COS($L$2*$J$2)-W10*SIN($L$2*$J$2)</f>
        <v>334208.3231677283</v>
      </c>
      <c r="Y10">
        <f>$E$5+W10*COS($L$2*$J$2)+V10*SIN($L$2*$J$2)</f>
        <v>6243650.603976762</v>
      </c>
      <c r="AA10">
        <f>X9</f>
        <v>334209.8952082697</v>
      </c>
      <c r="AB10">
        <f>Y9</f>
        <v>6243651.106635579</v>
      </c>
      <c r="AD10">
        <f>N9</f>
        <v>3.464101615137755</v>
      </c>
      <c r="AE10">
        <f>IF(C16=0,O9,-1*$I$4*C16)</f>
        <v>1.9999999999999998</v>
      </c>
      <c r="AF10">
        <f>$D$5+AD10*COS($L$2*$J$2)-AE10*SIN($L$2*$J$2)</f>
        <v>334213.3075336374</v>
      </c>
      <c r="AG10">
        <f>$E$5+AE10*COS($L$2*$J$2)+AD10*SIN($L$2*$J$2)</f>
        <v>6243638.355320525</v>
      </c>
      <c r="AI10" t="s">
        <v>42</v>
      </c>
      <c r="AJ10">
        <f>C13</f>
        <v>0.8</v>
      </c>
    </row>
    <row r="11" spans="2:36" ht="15.75">
      <c r="B11" s="15" t="s">
        <v>6</v>
      </c>
      <c r="C11" s="4">
        <v>429.9</v>
      </c>
      <c r="D11" s="14"/>
      <c r="E11" s="14"/>
      <c r="G11">
        <v>10</v>
      </c>
      <c r="H11">
        <f aca="true" t="shared" si="8" ref="H11:H45">$I$4*$I$6*COS($L$2*G11)</f>
        <v>1.969615506024416</v>
      </c>
      <c r="I11">
        <f>$I$4*$I$6*SIN($L$2*G11)</f>
        <v>0.34729635533386066</v>
      </c>
      <c r="J11">
        <f>$D$5+H11*COS($L$2*$J$2)-I11*SIN($L$2*$J$2)</f>
        <v>334214.5165215722</v>
      </c>
      <c r="K11">
        <f>$E$5+I11*COS($L$2*$J$2)+H11*SIN($L$2*$J$2)</f>
        <v>6243636.483619096</v>
      </c>
      <c r="M11">
        <f aca="true" t="shared" si="9" ref="M11:M37">M10+($O$5-$O$4)/20</f>
        <v>41</v>
      </c>
      <c r="N11">
        <f t="shared" si="0"/>
        <v>3.018838320891088</v>
      </c>
      <c r="O11">
        <f t="shared" si="1"/>
        <v>2.624236115962029</v>
      </c>
      <c r="P11">
        <f t="shared" si="2"/>
        <v>334212.58923921705</v>
      </c>
      <c r="Q11">
        <f t="shared" si="3"/>
        <v>6243638.087023572</v>
      </c>
      <c r="R11">
        <f t="shared" si="4"/>
        <v>10.716876039163397</v>
      </c>
      <c r="S11">
        <f t="shared" si="5"/>
        <v>9.316038211665234</v>
      </c>
      <c r="T11">
        <f>$D$5+R11*COS($L$2*$J$2)-S11*SIN($L$2*$J$2)</f>
        <v>334208.1207915702</v>
      </c>
      <c r="U11">
        <f>$E$5+S11*COS($L$2*$J$2)+R11*SIN($L$2*$J$2)</f>
        <v>6243647.256155244</v>
      </c>
      <c r="V11">
        <f t="shared" si="6"/>
        <v>12.981004779831713</v>
      </c>
      <c r="W11">
        <f t="shared" si="7"/>
        <v>11.284215298636754</v>
      </c>
      <c r="X11">
        <f>$D$5+V11*COS($L$2*$J$2)-W11*SIN($L$2*$J$2)</f>
        <v>334206.8065422623</v>
      </c>
      <c r="Y11">
        <f>$E$5+W11*COS($L$2*$J$2)+V11*SIN($L$2*$J$2)</f>
        <v>6243649.952958678</v>
      </c>
      <c r="AD11">
        <f>V9</f>
        <v>14.895636945092384</v>
      </c>
      <c r="AE11">
        <f>IF(C16=0,W9,AE10)</f>
        <v>8.600000000000021</v>
      </c>
      <c r="AF11">
        <f>$D$5+AD11*COS($L$2*$J$2)-AE11*SIN($L$2*$J$2)</f>
        <v>334209.8952082697</v>
      </c>
      <c r="AG11">
        <f>$E$5+AE11*COS($L$2*$J$2)+AD11*SIN($L$2*$J$2)</f>
        <v>6243651.106635579</v>
      </c>
      <c r="AI11" t="s">
        <v>27</v>
      </c>
      <c r="AJ11">
        <f>(AJ9^2+1)^0.5*AJ10</f>
        <v>1.788854381999832</v>
      </c>
    </row>
    <row r="12" spans="2:36" ht="15.75">
      <c r="B12" s="15" t="s">
        <v>7</v>
      </c>
      <c r="C12" s="16">
        <v>3</v>
      </c>
      <c r="D12" s="14"/>
      <c r="E12" s="14"/>
      <c r="G12">
        <v>15</v>
      </c>
      <c r="H12">
        <f t="shared" si="8"/>
        <v>1.9318516525781366</v>
      </c>
      <c r="I12">
        <f>$I$4*$I$6*SIN($L$2*G12)</f>
        <v>0.5176380902050415</v>
      </c>
      <c r="J12">
        <f>$D$5+H12*COS($L$2*$J$2)-I12*SIN($L$2*$J$2)</f>
        <v>334214.3422125345</v>
      </c>
      <c r="K12">
        <f>$E$5+I12*COS($L$2*$J$2)+H12*SIN($L$2*$J$2)</f>
        <v>6243636.491285559</v>
      </c>
      <c r="M12">
        <f t="shared" si="9"/>
        <v>46.5</v>
      </c>
      <c r="N12">
        <f t="shared" si="0"/>
        <v>2.753418302775016</v>
      </c>
      <c r="O12">
        <f t="shared" si="1"/>
        <v>2.9014974840491505</v>
      </c>
      <c r="P12">
        <f t="shared" si="2"/>
        <v>334212.25267040194</v>
      </c>
      <c r="Q12">
        <f t="shared" si="3"/>
        <v>6243637.902515889</v>
      </c>
      <c r="R12">
        <f t="shared" si="4"/>
        <v>9.774634974851338</v>
      </c>
      <c r="S12">
        <f t="shared" si="5"/>
        <v>10.300316068374517</v>
      </c>
      <c r="T12">
        <f>$D$5+R12*COS($L$2*$J$2)-S12*SIN($L$2*$J$2)</f>
        <v>334206.9259722766</v>
      </c>
      <c r="U12">
        <f>$E$5+S12*COS($L$2*$J$2)+R12*SIN($L$2*$J$2)</f>
        <v>6243646.601152971</v>
      </c>
      <c r="V12">
        <f t="shared" si="6"/>
        <v>11.839698701932601</v>
      </c>
      <c r="W12">
        <f t="shared" si="7"/>
        <v>12.476439181411381</v>
      </c>
      <c r="X12">
        <f>$D$5+V12*COS($L$2*$J$2)-W12*SIN($L$2*$J$2)</f>
        <v>334205.3592963574</v>
      </c>
      <c r="Y12">
        <f>$E$5+W12*COS($L$2*$J$2)+V12*SIN($L$2*$J$2)</f>
        <v>6243649.159575642</v>
      </c>
      <c r="AA12">
        <f>P29</f>
        <v>334211.0642284005</v>
      </c>
      <c r="AB12">
        <f>Q29</f>
        <v>6243632.198030034</v>
      </c>
      <c r="AD12">
        <f>V9</f>
        <v>14.895636945092384</v>
      </c>
      <c r="AE12">
        <f>W9</f>
        <v>8.600000000000021</v>
      </c>
      <c r="AF12">
        <f>$D$5+AD12*COS($L$2*$J$2)-AE12*SIN($L$2*$J$2)</f>
        <v>334209.8952082697</v>
      </c>
      <c r="AG12">
        <f>$E$5+AE12*COS($L$2*$J$2)+AD12*SIN($L$2*$J$2)</f>
        <v>6243651.106635579</v>
      </c>
      <c r="AI12" t="s">
        <v>26</v>
      </c>
      <c r="AJ12">
        <f>C12</f>
        <v>3</v>
      </c>
    </row>
    <row r="13" spans="2:36" ht="15.75">
      <c r="B13" s="15" t="s">
        <v>8</v>
      </c>
      <c r="C13" s="16">
        <v>0.8</v>
      </c>
      <c r="D13" s="14"/>
      <c r="E13" s="14"/>
      <c r="G13">
        <v>20</v>
      </c>
      <c r="H13">
        <f t="shared" si="8"/>
        <v>1.8793852415718169</v>
      </c>
      <c r="I13">
        <f>$I$4*$I$6*SIN($L$2*G13)</f>
        <v>0.6840402866513374</v>
      </c>
      <c r="J13">
        <f>$D$5+H13*COS($L$2*$J$2)-I13*SIN($L$2*$J$2)</f>
        <v>334214.16789861914</v>
      </c>
      <c r="K13">
        <f>$E$5+I13*COS($L$2*$J$2)+H13*SIN($L$2*$J$2)</f>
        <v>6243636.483730814</v>
      </c>
      <c r="M13">
        <f t="shared" si="9"/>
        <v>52</v>
      </c>
      <c r="N13">
        <f t="shared" si="0"/>
        <v>2.462645901302633</v>
      </c>
      <c r="O13">
        <f t="shared" si="1"/>
        <v>3.152043014426888</v>
      </c>
      <c r="P13">
        <f t="shared" si="2"/>
        <v>334211.93533536064</v>
      </c>
      <c r="Q13">
        <f t="shared" si="3"/>
        <v>6243637.686598952</v>
      </c>
      <c r="R13">
        <f t="shared" si="4"/>
        <v>8.742392949624376</v>
      </c>
      <c r="S13">
        <f t="shared" si="5"/>
        <v>11.189752701215488</v>
      </c>
      <c r="T13">
        <f>$D$5+R13*COS($L$2*$J$2)-S13*SIN($L$2*$J$2)</f>
        <v>334205.7994328797</v>
      </c>
      <c r="U13">
        <f>$E$5+S13*COS($L$2*$J$2)+R13*SIN($L$2*$J$2)</f>
        <v>6243645.834647844</v>
      </c>
      <c r="V13">
        <f t="shared" si="6"/>
        <v>10.58937737560135</v>
      </c>
      <c r="W13">
        <f t="shared" si="7"/>
        <v>13.553784962035655</v>
      </c>
      <c r="X13">
        <f>$D$5+V13*COS($L$2*$J$2)-W13*SIN($L$2*$J$2)</f>
        <v>334203.99475567945</v>
      </c>
      <c r="Y13">
        <f>$E$5+W13*COS($L$2*$J$2)+V13*SIN($L$2*$J$2)</f>
        <v>6243648.231132812</v>
      </c>
      <c r="AA13">
        <f>X29</f>
        <v>334200.248995751</v>
      </c>
      <c r="AB13">
        <f>Y29</f>
        <v>6243624.6302864645</v>
      </c>
      <c r="AD13" t="s">
        <v>54</v>
      </c>
      <c r="AI13" t="s">
        <v>43</v>
      </c>
      <c r="AJ13">
        <f>C10-C11</f>
        <v>5.100000000000023</v>
      </c>
    </row>
    <row r="14" spans="2:33" ht="15.75">
      <c r="B14" s="15" t="s">
        <v>36</v>
      </c>
      <c r="C14" s="16">
        <v>60</v>
      </c>
      <c r="D14" s="14"/>
      <c r="E14" s="14"/>
      <c r="G14">
        <v>25</v>
      </c>
      <c r="H14">
        <f t="shared" si="8"/>
        <v>1.8126155740732999</v>
      </c>
      <c r="I14">
        <f>$I$4*$I$6*SIN($L$2*G14)</f>
        <v>0.8452365234813989</v>
      </c>
      <c r="J14">
        <f>$D$5+H14*COS($L$2*$J$2)-I14*SIN($L$2*$J$2)</f>
        <v>334213.99490646017</v>
      </c>
      <c r="K14">
        <f>$E$5+I14*COS($L$2*$J$2)+H14*SIN($L$2*$J$2)</f>
        <v>6243636.461012359</v>
      </c>
      <c r="M14">
        <f t="shared" si="9"/>
        <v>57.5</v>
      </c>
      <c r="N14">
        <f t="shared" si="0"/>
        <v>2.1491984333872955</v>
      </c>
      <c r="O14">
        <f t="shared" si="1"/>
        <v>3.373565783251543</v>
      </c>
      <c r="P14">
        <f t="shared" si="2"/>
        <v>334211.64015598816</v>
      </c>
      <c r="Q14">
        <f t="shared" si="3"/>
        <v>6243637.441260838</v>
      </c>
      <c r="R14">
        <f t="shared" si="4"/>
        <v>7.629654438524923</v>
      </c>
      <c r="S14">
        <f t="shared" si="5"/>
        <v>11.976158530543016</v>
      </c>
      <c r="T14">
        <f>$D$5+R14*COS($L$2*$J$2)-S14*SIN($L$2*$J$2)</f>
        <v>334204.7515461075</v>
      </c>
      <c r="U14">
        <f>$E$5+S14*COS($L$2*$J$2)+R14*SIN($L$2*$J$2)</f>
        <v>6243644.963697539</v>
      </c>
      <c r="V14">
        <f t="shared" si="6"/>
        <v>9.241553263565395</v>
      </c>
      <c r="W14">
        <f t="shared" si="7"/>
        <v>14.506332867981673</v>
      </c>
      <c r="X14">
        <f>$D$5+V14*COS($L$2*$J$2)-W14*SIN($L$2*$J$2)</f>
        <v>334202.72548437794</v>
      </c>
      <c r="Y14">
        <f>$E$5+W14*COS($L$2*$J$2)+V14*SIN($L$2*$J$2)</f>
        <v>6243647.176178921</v>
      </c>
      <c r="AD14">
        <f>N29</f>
        <v>-3.0641777724759116</v>
      </c>
      <c r="AE14">
        <f>O29</f>
        <v>2.571150438746158</v>
      </c>
      <c r="AF14">
        <f>$D$5+AD14*COS($L$2*$J$2)-AE14*SIN($L$2*$J$2)</f>
        <v>334211.0642284005</v>
      </c>
      <c r="AG14">
        <f>$E$5+AE14*COS($L$2*$J$2)+AD14*SIN($L$2*$J$2)</f>
        <v>6243632.198030034</v>
      </c>
    </row>
    <row r="15" spans="2:36" ht="15.75">
      <c r="B15" s="15" t="s">
        <v>35</v>
      </c>
      <c r="C15" s="16">
        <v>50</v>
      </c>
      <c r="D15" s="14"/>
      <c r="E15" s="14"/>
      <c r="G15">
        <v>30</v>
      </c>
      <c r="H15">
        <f t="shared" si="8"/>
        <v>1.7320508075688774</v>
      </c>
      <c r="I15">
        <f>$I$4*$I$6*SIN($L$2*G15)</f>
        <v>0.9999999999999999</v>
      </c>
      <c r="J15">
        <f>$D$5+H15*COS($L$2*$J$2)-I15*SIN($L$2*$J$2)</f>
        <v>334213.82455263246</v>
      </c>
      <c r="K15">
        <f>$E$5+I15*COS($L$2*$J$2)+H15*SIN($L$2*$J$2)</f>
        <v>6243636.423303094</v>
      </c>
      <c r="M15">
        <f t="shared" si="9"/>
        <v>63</v>
      </c>
      <c r="N15">
        <f t="shared" si="0"/>
        <v>1.8159619989581872</v>
      </c>
      <c r="O15">
        <f t="shared" si="1"/>
        <v>3.564026096753471</v>
      </c>
      <c r="P15">
        <f t="shared" si="2"/>
        <v>334211.3698501792</v>
      </c>
      <c r="Q15">
        <f t="shared" si="3"/>
        <v>6243637.168760523</v>
      </c>
      <c r="R15">
        <f t="shared" si="4"/>
        <v>6.446665096301586</v>
      </c>
      <c r="S15">
        <f t="shared" si="5"/>
        <v>12.652292643474864</v>
      </c>
      <c r="T15">
        <f>$D$5+R15*COS($L$2*$J$2)-S15*SIN($L$2*$J$2)</f>
        <v>334203.7919604856</v>
      </c>
      <c r="U15">
        <f>$E$5+S15*COS($L$2*$J$2)+R15*SIN($L$2*$J$2)</f>
        <v>6243643.996321418</v>
      </c>
      <c r="V15">
        <f t="shared" si="6"/>
        <v>7.808636595520226</v>
      </c>
      <c r="W15">
        <f t="shared" si="7"/>
        <v>15.325312216039967</v>
      </c>
      <c r="X15">
        <f>$D$5+V15*COS($L$2*$J$2)-W15*SIN($L$2*$J$2)</f>
        <v>334201.5631693993</v>
      </c>
      <c r="Y15">
        <f>$E$5+W15*COS($L$2*$J$2)+V15*SIN($L$2*$J$2)</f>
        <v>6243646.004427564</v>
      </c>
      <c r="AD15">
        <f>N29</f>
        <v>-3.0641777724759116</v>
      </c>
      <c r="AE15">
        <f>IF(C17=0,O29,-1*$I$4*C17)</f>
        <v>2.571150438746158</v>
      </c>
      <c r="AF15">
        <f>$D$5+AD15*COS($L$2*$J$2)-AE15*SIN($L$2*$J$2)</f>
        <v>334211.0642284005</v>
      </c>
      <c r="AG15">
        <f>$E$5+AE15*COS($L$2*$J$2)+AD15*SIN($L$2*$J$2)</f>
        <v>6243632.198030034</v>
      </c>
      <c r="AI15" t="s">
        <v>9</v>
      </c>
      <c r="AJ15">
        <f>AJ13*AJ11</f>
        <v>9.123157348199184</v>
      </c>
    </row>
    <row r="16" spans="2:36" ht="15.75">
      <c r="B16" s="15" t="s">
        <v>37</v>
      </c>
      <c r="C16" s="16">
        <v>0</v>
      </c>
      <c r="D16" s="14"/>
      <c r="E16" s="14"/>
      <c r="G16">
        <v>35</v>
      </c>
      <c r="H16">
        <f t="shared" si="8"/>
        <v>1.6383040885779836</v>
      </c>
      <c r="I16">
        <f>$I$4*$I$6*SIN($L$2*G16)</f>
        <v>1.147152872702092</v>
      </c>
      <c r="J16">
        <f>$D$5+H16*COS($L$2*$J$2)-I16*SIN($L$2*$J$2)</f>
        <v>334213.6581336315</v>
      </c>
      <c r="K16">
        <f>$E$5+I16*COS($L$2*$J$2)+H16*SIN($L$2*$J$2)</f>
        <v>6243636.370890009</v>
      </c>
      <c r="M16">
        <f t="shared" si="9"/>
        <v>68.5</v>
      </c>
      <c r="N16">
        <f t="shared" si="0"/>
        <v>1.4660049068971892</v>
      </c>
      <c r="O16">
        <f t="shared" si="1"/>
        <v>3.7216702719280983</v>
      </c>
      <c r="P16">
        <f t="shared" si="2"/>
        <v>334211.12690680224</v>
      </c>
      <c r="Q16">
        <f t="shared" si="3"/>
        <v>6243636.871607081</v>
      </c>
      <c r="R16">
        <f t="shared" si="4"/>
        <v>5.204317419485038</v>
      </c>
      <c r="S16">
        <f t="shared" si="5"/>
        <v>13.211929465344792</v>
      </c>
      <c r="T16">
        <f>$D$5+R16*COS($L$2*$J$2)-S16*SIN($L$2*$J$2)</f>
        <v>334202.92951149767</v>
      </c>
      <c r="U16">
        <f>$E$5+S16*COS($L$2*$J$2)+R16*SIN($L$2*$J$2)</f>
        <v>6243642.941426701</v>
      </c>
      <c r="V16">
        <f t="shared" si="6"/>
        <v>6.30382109965793</v>
      </c>
      <c r="W16">
        <f t="shared" si="7"/>
        <v>16.003182169290866</v>
      </c>
      <c r="X16">
        <f>$D$5+V16*COS($L$2*$J$2)-W16*SIN($L$2*$J$2)</f>
        <v>334200.5185128787</v>
      </c>
      <c r="Y16">
        <f>$E$5+W16*COS($L$2*$J$2)+V16*SIN($L$2*$J$2)</f>
        <v>6243644.7266677655</v>
      </c>
      <c r="AD16">
        <f>V29</f>
        <v>-13.175964421646455</v>
      </c>
      <c r="AE16">
        <f>IF(C17=0,W29,AE15)</f>
        <v>11.055946886608508</v>
      </c>
      <c r="AF16">
        <f>$D$5+AD16*COS($L$2*$J$2)-AE16*SIN($L$2*$J$2)</f>
        <v>334200.248995751</v>
      </c>
      <c r="AG16">
        <f>$E$5+AE16*COS($L$2*$J$2)+AD16*SIN($L$2*$J$2)</f>
        <v>6243624.6302864645</v>
      </c>
      <c r="AI16" t="s">
        <v>10</v>
      </c>
      <c r="AJ16">
        <f>(AJ9*AJ13+AJ11)/2</f>
        <v>5.9944271909999385</v>
      </c>
    </row>
    <row r="17" spans="2:36" ht="15.75">
      <c r="B17" s="15" t="s">
        <v>38</v>
      </c>
      <c r="C17" s="16">
        <v>0</v>
      </c>
      <c r="D17" s="14"/>
      <c r="E17" s="14"/>
      <c r="G17">
        <v>40</v>
      </c>
      <c r="H17">
        <f t="shared" si="8"/>
        <v>1.532088886237956</v>
      </c>
      <c r="I17">
        <f>$I$4*$I$6*SIN($L$2*G17)</f>
        <v>1.2855752193730785</v>
      </c>
      <c r="J17">
        <f>$D$5+H17*COS($L$2*$J$2)-I17*SIN($L$2*$J$2)</f>
        <v>334213.49691600644</v>
      </c>
      <c r="K17">
        <f>$E$5+I17*COS($L$2*$J$2)+H17*SIN($L$2*$J$2)</f>
        <v>6243636.304172002</v>
      </c>
      <c r="M17">
        <f t="shared" si="9"/>
        <v>74</v>
      </c>
      <c r="N17">
        <f t="shared" si="0"/>
        <v>1.1025494232679967</v>
      </c>
      <c r="O17">
        <f t="shared" si="1"/>
        <v>3.8450467837532756</v>
      </c>
      <c r="P17">
        <f t="shared" si="2"/>
        <v>334210.91356278374</v>
      </c>
      <c r="Q17">
        <f t="shared" si="3"/>
        <v>6243636.552536584</v>
      </c>
      <c r="R17">
        <f t="shared" si="4"/>
        <v>3.914050452601401</v>
      </c>
      <c r="S17">
        <f t="shared" si="5"/>
        <v>13.649916082324172</v>
      </c>
      <c r="T17">
        <f>$D$5+R17*COS($L$2*$J$2)-S17*SIN($L$2*$J$2)</f>
        <v>334202.1721402319</v>
      </c>
      <c r="U17">
        <f>$E$5+S17*COS($L$2*$J$2)+R17*SIN($L$2*$J$2)</f>
        <v>6243641.808726437</v>
      </c>
      <c r="V17">
        <f t="shared" si="6"/>
        <v>4.740962520052398</v>
      </c>
      <c r="W17">
        <f t="shared" si="7"/>
        <v>16.53370117013913</v>
      </c>
      <c r="X17">
        <f>$D$5+V17*COS($L$2*$J$2)-W17*SIN($L$2*$J$2)</f>
        <v>334199.601133599</v>
      </c>
      <c r="Y17">
        <f>$E$5+W17*COS($L$2*$J$2)+V17*SIN($L$2*$J$2)</f>
        <v>6243643.354664629</v>
      </c>
      <c r="AD17">
        <f>V29</f>
        <v>-13.175964421646455</v>
      </c>
      <c r="AE17">
        <f>W29</f>
        <v>11.055946886608508</v>
      </c>
      <c r="AF17">
        <f>$D$5+AD17*COS($L$2*$J$2)-AE17*SIN($L$2*$J$2)</f>
        <v>334200.248995751</v>
      </c>
      <c r="AG17">
        <f>$E$5+AE17*COS($L$2*$J$2)+AD17*SIN($L$2*$J$2)</f>
        <v>6243624.6302864645</v>
      </c>
      <c r="AI17" t="s">
        <v>11</v>
      </c>
      <c r="AJ17">
        <f>2*AJ9*AJ10^2+2*AJ12*AJ10-2*AJ11*AJ10-2*AJ10^2</f>
        <v>3.2178329888002697</v>
      </c>
    </row>
    <row r="18" spans="2:36" ht="15.75">
      <c r="B18" s="15"/>
      <c r="C18" s="16"/>
      <c r="D18" s="14"/>
      <c r="E18" s="14"/>
      <c r="G18">
        <v>45</v>
      </c>
      <c r="H18">
        <f t="shared" si="8"/>
        <v>1.4142135623730951</v>
      </c>
      <c r="I18">
        <f>$I$4*$I$6*SIN($L$2*G18)</f>
        <v>1.414213562373095</v>
      </c>
      <c r="J18">
        <f>$D$5+H18*COS($L$2*$J$2)-I18*SIN($L$2*$J$2)</f>
        <v>334213.3421267206</v>
      </c>
      <c r="K18">
        <f>$E$5+I18*COS($L$2*$J$2)+H18*SIN($L$2*$J$2)</f>
        <v>6243636.223656833</v>
      </c>
      <c r="M18">
        <f t="shared" si="9"/>
        <v>79.5</v>
      </c>
      <c r="N18">
        <f t="shared" si="0"/>
        <v>0.7289421019685898</v>
      </c>
      <c r="O18">
        <f t="shared" si="1"/>
        <v>3.9330196302558185</v>
      </c>
      <c r="P18">
        <f t="shared" si="2"/>
        <v>334210.73178251064</v>
      </c>
      <c r="Q18">
        <f t="shared" si="3"/>
        <v>6243636.214486906</v>
      </c>
      <c r="R18">
        <f t="shared" si="4"/>
        <v>2.587744461988502</v>
      </c>
      <c r="S18">
        <f t="shared" si="5"/>
        <v>13.9622196874082</v>
      </c>
      <c r="T18">
        <f>$D$5+R18*COS($L$2*$J$2)-S18*SIN($L$2*$J$2)</f>
        <v>334201.52682026237</v>
      </c>
      <c r="U18">
        <f>$E$5+S18*COS($L$2*$J$2)+R18*SIN($L$2*$J$2)</f>
        <v>6243640.608650081</v>
      </c>
      <c r="V18">
        <f t="shared" si="6"/>
        <v>3.1344510384649444</v>
      </c>
      <c r="W18">
        <f t="shared" si="7"/>
        <v>16.911984410100064</v>
      </c>
      <c r="X18">
        <f>$D$5+V18*COS($L$2*$J$2)-W18*SIN($L$2*$J$2)</f>
        <v>334198.8194784247</v>
      </c>
      <c r="Y18">
        <f>$E$5+W18*COS($L$2*$J$2)+V18*SIN($L$2*$J$2)</f>
        <v>6243641.901051016</v>
      </c>
      <c r="AD18" t="s">
        <v>56</v>
      </c>
      <c r="AI18" t="s">
        <v>12</v>
      </c>
      <c r="AJ18">
        <f>(2*AJ9*AJ10^2*AJ11+2*AJ9*(AJ9+1)*AJ10*AJ10*AJ13+4/3*(1-AJ9*AJ9)*AJ10*AJ10*AJ10-2*AJ12*AJ10*AJ10-AJ11*AJ11*AJ10+2*AJ9*AJ12*AJ10*AJ13+AJ12*AJ12*AJ10-2*AJ9*AJ11*AJ10*AJ13-4*AJ9*AJ10*AJ10*AJ13)/AJ17</f>
        <v>11.235313898985732</v>
      </c>
    </row>
    <row r="19" spans="2:36" ht="15.75">
      <c r="B19" s="15" t="s">
        <v>49</v>
      </c>
      <c r="C19" s="17">
        <f>AJ26</f>
        <v>221.78909619308354</v>
      </c>
      <c r="D19" s="15"/>
      <c r="E19" s="14"/>
      <c r="G19">
        <v>50</v>
      </c>
      <c r="H19">
        <f t="shared" si="8"/>
        <v>1.2855752193730787</v>
      </c>
      <c r="I19">
        <f>$I$4*$I$6*SIN($L$2*G19)</f>
        <v>1.532088886237956</v>
      </c>
      <c r="J19">
        <f>$D$5+H19*COS($L$2*$J$2)-I19*SIN($L$2*$J$2)</f>
        <v>334213.194943814</v>
      </c>
      <c r="K19">
        <f>$E$5+I19*COS($L$2*$J$2)+H19*SIN($L$2*$J$2)</f>
        <v>6243636.1299572745</v>
      </c>
      <c r="M19">
        <f t="shared" si="9"/>
        <v>85</v>
      </c>
      <c r="N19">
        <f t="shared" si="0"/>
        <v>0.34862297099063255</v>
      </c>
      <c r="O19">
        <f t="shared" si="1"/>
        <v>3.984778792366982</v>
      </c>
      <c r="P19">
        <f t="shared" si="2"/>
        <v>334210.5832397436</v>
      </c>
      <c r="Q19">
        <f t="shared" si="3"/>
        <v>6243635.860570676</v>
      </c>
      <c r="R19">
        <f t="shared" si="4"/>
        <v>1.2376115470167495</v>
      </c>
      <c r="S19">
        <f t="shared" si="5"/>
        <v>14.145964712902831</v>
      </c>
      <c r="T19">
        <f>$D$5+R19*COS($L$2*$J$2)-S19*SIN($L$2*$J$2)</f>
        <v>334200.99949343933</v>
      </c>
      <c r="U19">
        <f>$E$5+S19*COS($L$2*$J$2)+R19*SIN($L$2*$J$2)</f>
        <v>6243639.352247462</v>
      </c>
      <c r="V19">
        <f t="shared" si="6"/>
        <v>1.4990787752597239</v>
      </c>
      <c r="W19">
        <f t="shared" si="7"/>
        <v>17.134548807178067</v>
      </c>
      <c r="X19">
        <f>$D$5+V19*COS($L$2*$J$2)-W19*SIN($L$2*$J$2)</f>
        <v>334198.1807445263</v>
      </c>
      <c r="Y19">
        <f>$E$5+W19*COS($L$2*$J$2)+V19*SIN($L$2*$J$2)</f>
        <v>6243640.379211222</v>
      </c>
      <c r="AD19">
        <f>R9</f>
        <v>12.297560733739068</v>
      </c>
      <c r="AE19">
        <f>S9</f>
        <v>7.100000000000022</v>
      </c>
      <c r="AF19">
        <f>$D$5+AD19*COS($L$2*$J$2)-AE19*SIN($L$2*$J$2)</f>
        <v>334210.67073676235</v>
      </c>
      <c r="AG19">
        <f>$E$5+AE19*COS($L$2*$J$2)+AD19*SIN($L$2*$J$2)</f>
        <v>6243648.20860943</v>
      </c>
      <c r="AI19" t="s">
        <v>13</v>
      </c>
      <c r="AJ19">
        <f>AJ15+AJ17</f>
        <v>12.340990336999454</v>
      </c>
    </row>
    <row r="20" spans="2:36" ht="15.75">
      <c r="B20" s="15"/>
      <c r="C20" s="16"/>
      <c r="D20" s="16"/>
      <c r="E20" s="14"/>
      <c r="G20">
        <v>55</v>
      </c>
      <c r="H20">
        <f t="shared" si="8"/>
        <v>1.1471528727020923</v>
      </c>
      <c r="I20">
        <f>$I$4*$I$6*SIN($L$2*G20)</f>
        <v>1.6383040885779836</v>
      </c>
      <c r="J20">
        <f>$D$5+H20*COS($L$2*$J$2)-I20*SIN($L$2*$J$2)</f>
        <v>334213.0564874374</v>
      </c>
      <c r="K20">
        <f>$E$5+I20*COS($L$2*$J$2)+H20*SIN($L$2*$J$2)</f>
        <v>6243636.023786436</v>
      </c>
      <c r="M20">
        <f t="shared" si="9"/>
        <v>90.5</v>
      </c>
      <c r="N20">
        <f t="shared" si="0"/>
        <v>-0.03490614199349599</v>
      </c>
      <c r="O20">
        <f t="shared" si="1"/>
        <v>3.9998476922566852</v>
      </c>
      <c r="P20">
        <f t="shared" si="2"/>
        <v>334210.4693022054</v>
      </c>
      <c r="Q20">
        <f t="shared" si="3"/>
        <v>6243635.494046611</v>
      </c>
      <c r="R20">
        <f t="shared" si="4"/>
        <v>-0.12391680407691115</v>
      </c>
      <c r="S20">
        <f t="shared" si="5"/>
        <v>14.199459307511278</v>
      </c>
      <c r="T20">
        <f>$D$5+R20*COS($L$2*$J$2)-S20*SIN($L$2*$J$2)</f>
        <v>334200.595015179</v>
      </c>
      <c r="U20">
        <f>$E$5+S20*COS($L$2*$J$2)+R20*SIN($L$2*$J$2)</f>
        <v>6243638.051087033</v>
      </c>
      <c r="V20">
        <f t="shared" si="6"/>
        <v>-0.15009641057203316</v>
      </c>
      <c r="W20">
        <f t="shared" si="7"/>
        <v>17.199345076703793</v>
      </c>
      <c r="X20">
        <f>$D$5+V20*COS($L$2*$J$2)-W20*SIN($L$2*$J$2)</f>
        <v>334197.6908131124</v>
      </c>
      <c r="Y20">
        <f>$E$5+W20*COS($L$2*$J$2)+V20*SIN($L$2*$J$2)</f>
        <v>6243638.803157745</v>
      </c>
      <c r="AD20">
        <f>R9</f>
        <v>12.297560733739068</v>
      </c>
      <c r="AE20">
        <f>IF(C16=0,S9,AE11)</f>
        <v>7.100000000000022</v>
      </c>
      <c r="AF20">
        <f>$D$5+AD20*COS($L$2*$J$2)-AE20*SIN($L$2*$J$2)</f>
        <v>334210.67073676235</v>
      </c>
      <c r="AG20">
        <f>$E$5+AE20*COS($L$2*$J$2)+AD20*SIN($L$2*$J$2)</f>
        <v>6243648.20860943</v>
      </c>
      <c r="AI20" t="s">
        <v>2</v>
      </c>
      <c r="AJ20">
        <f>(AJ15*AJ16+AJ17*AJ18)/AJ19</f>
        <v>7.360954323669411</v>
      </c>
    </row>
    <row r="21" spans="2:30" ht="15.75">
      <c r="B21" s="15"/>
      <c r="C21" s="16"/>
      <c r="D21" s="16"/>
      <c r="E21" s="14"/>
      <c r="G21">
        <v>60</v>
      </c>
      <c r="H21">
        <f t="shared" si="8"/>
        <v>1.0000000000000002</v>
      </c>
      <c r="I21">
        <f>$I$4*$I$6*SIN($L$2*G21)</f>
        <v>1.7320508075688772</v>
      </c>
      <c r="J21">
        <f>$D$5+H21*COS($L$2*$J$2)-I21*SIN($L$2*$J$2)</f>
        <v>334212.92781132745</v>
      </c>
      <c r="K21">
        <f>$E$5+I21*COS($L$2*$J$2)+H21*SIN($L$2*$J$2)</f>
        <v>6243635.905952341</v>
      </c>
      <c r="M21">
        <f t="shared" si="9"/>
        <v>96</v>
      </c>
      <c r="N21">
        <f t="shared" si="0"/>
        <v>-0.4181138530706142</v>
      </c>
      <c r="O21">
        <f t="shared" si="1"/>
        <v>3.978087581473093</v>
      </c>
      <c r="P21">
        <f t="shared" si="2"/>
        <v>334210.3910189879</v>
      </c>
      <c r="Q21">
        <f t="shared" si="3"/>
        <v>6243635.118289522</v>
      </c>
      <c r="R21">
        <f t="shared" si="4"/>
        <v>-1.4843041784006852</v>
      </c>
      <c r="S21">
        <f t="shared" si="5"/>
        <v>14.122210914229527</v>
      </c>
      <c r="T21">
        <f>$D$5+R21*COS($L$2*$J$2)-S21*SIN($L$2*$J$2)</f>
        <v>334200.31710975675</v>
      </c>
      <c r="U21">
        <f>$E$5+S21*COS($L$2*$J$2)+R21*SIN($L$2*$J$2)</f>
        <v>6243636.717149367</v>
      </c>
      <c r="V21">
        <f t="shared" si="6"/>
        <v>-1.797889568203646</v>
      </c>
      <c r="W21">
        <f t="shared" si="7"/>
        <v>17.105776600334345</v>
      </c>
      <c r="X21">
        <f>$D$5+V21*COS($L$2*$J$2)-W21*SIN($L$2*$J$2)</f>
        <v>334197.354195277</v>
      </c>
      <c r="Y21">
        <f>$E$5+W21*COS($L$2*$J$2)+V21*SIN($L$2*$J$2)</f>
        <v>6243637.187402261</v>
      </c>
      <c r="AD21" t="s">
        <v>57</v>
      </c>
    </row>
    <row r="22" spans="2:36" ht="15.75">
      <c r="B22" s="15"/>
      <c r="C22" s="16"/>
      <c r="D22" s="16"/>
      <c r="E22" s="14"/>
      <c r="G22">
        <v>65</v>
      </c>
      <c r="H22">
        <f t="shared" si="8"/>
        <v>0.8452365234813989</v>
      </c>
      <c r="I22">
        <f>$I$4*$I$6*SIN($L$2*G22)</f>
        <v>1.8126155740732999</v>
      </c>
      <c r="J22">
        <f>$D$5+H22*COS($L$2*$J$2)-I22*SIN($L$2*$J$2)</f>
        <v>334212.80989478703</v>
      </c>
      <c r="K22">
        <f>$E$5+I22*COS($L$2*$J$2)+H22*SIN($L$2*$J$2)</f>
        <v>6243635.777351777</v>
      </c>
      <c r="M22">
        <f t="shared" si="9"/>
        <v>101.5</v>
      </c>
      <c r="N22">
        <f t="shared" si="0"/>
        <v>-0.7974717376687882</v>
      </c>
      <c r="O22">
        <f t="shared" si="1"/>
        <v>3.9196988184833184</v>
      </c>
      <c r="P22">
        <f t="shared" si="2"/>
        <v>334210.3491108918</v>
      </c>
      <c r="Q22">
        <f t="shared" si="3"/>
        <v>6243634.7367592305</v>
      </c>
      <c r="R22">
        <f t="shared" si="4"/>
        <v>-2.8310246687242073</v>
      </c>
      <c r="S22">
        <f t="shared" si="5"/>
        <v>13.914930805615825</v>
      </c>
      <c r="T22">
        <f>$D$5+R22*COS($L$2*$J$2)-S22*SIN($L$2*$J$2)</f>
        <v>334200.16833601537</v>
      </c>
      <c r="U22">
        <f>$E$5+S22*COS($L$2*$J$2)+R22*SIN($L$2*$J$2)</f>
        <v>6243635.362716829</v>
      </c>
      <c r="V22">
        <f t="shared" si="6"/>
        <v>-3.4291284719757984</v>
      </c>
      <c r="W22">
        <f t="shared" si="7"/>
        <v>16.854704919478312</v>
      </c>
      <c r="X22">
        <f>$D$5+V22*COS($L$2*$J$2)-W22*SIN($L$2*$J$2)</f>
        <v>334197.1739904635</v>
      </c>
      <c r="Y22">
        <f>$E$5+W22*COS($L$2*$J$2)+V22*SIN($L$2*$J$2)</f>
        <v>6243635.546822006</v>
      </c>
      <c r="AD22">
        <f>R29</f>
        <v>-10.87783109228952</v>
      </c>
      <c r="AE22">
        <f>S29</f>
        <v>9.127584057548889</v>
      </c>
      <c r="AF22">
        <f>$D$5+AD22*COS($L$2*$J$2)-AE22*SIN($L$2*$J$2)</f>
        <v>334202.7070031714</v>
      </c>
      <c r="AG22">
        <f>$E$5+AE22*COS($L$2*$J$2)+AD22*SIN($L$2*$J$2)</f>
        <v>6243626.350228185</v>
      </c>
      <c r="AI22" t="s">
        <v>44</v>
      </c>
      <c r="AJ22">
        <f>(O5-O4)/180*PI()*(I6+AJ20)</f>
        <v>17.97174214845132</v>
      </c>
    </row>
    <row r="23" spans="2:36" ht="15.75">
      <c r="B23" s="15"/>
      <c r="C23" s="16"/>
      <c r="D23" s="16"/>
      <c r="E23" s="14"/>
      <c r="G23">
        <v>70</v>
      </c>
      <c r="H23">
        <f t="shared" si="8"/>
        <v>0.6840402866513376</v>
      </c>
      <c r="I23">
        <f>$I$4*$I$6*SIN($L$2*G23)</f>
        <v>1.8793852415718166</v>
      </c>
      <c r="J23">
        <f>$D$5+H23*COS($L$2*$J$2)-I23*SIN($L$2*$J$2)</f>
        <v>334212.70363523223</v>
      </c>
      <c r="K23">
        <f>$E$5+I23*COS($L$2*$J$2)+H23*SIN($L$2*$J$2)</f>
        <v>6243635.638963475</v>
      </c>
      <c r="M23">
        <f t="shared" si="9"/>
        <v>107</v>
      </c>
      <c r="N23">
        <f t="shared" si="0"/>
        <v>-1.1694868188909466</v>
      </c>
      <c r="O23">
        <f t="shared" si="1"/>
        <v>3.825219023852142</v>
      </c>
      <c r="P23">
        <f t="shared" si="2"/>
        <v>334210.34396379016</v>
      </c>
      <c r="Q23">
        <f t="shared" si="3"/>
        <v>6243634.352968714</v>
      </c>
      <c r="R23">
        <f t="shared" si="4"/>
        <v>-4.151678207062874</v>
      </c>
      <c r="S23">
        <f t="shared" si="5"/>
        <v>13.579527534675147</v>
      </c>
      <c r="T23">
        <f>$D$5+R23*COS($L$2*$J$2)-S23*SIN($L$2*$J$2)</f>
        <v>334200.1500638045</v>
      </c>
      <c r="U23">
        <f>$E$5+S23*COS($L$2*$J$2)+R23*SIN($L$2*$J$2)</f>
        <v>6243634.0002605</v>
      </c>
      <c r="V23">
        <f t="shared" si="6"/>
        <v>-5.028793321231084</v>
      </c>
      <c r="W23">
        <f t="shared" si="7"/>
        <v>16.448441802564254</v>
      </c>
      <c r="X23">
        <f>$D$5+V23*COS($L$2*$J$2)-W23*SIN($L$2*$J$2)</f>
        <v>334197.1518579264</v>
      </c>
      <c r="Y23">
        <f>$E$5+W23*COS($L$2*$J$2)+V23*SIN($L$2*$J$2)</f>
        <v>6243633.89652279</v>
      </c>
      <c r="AD23">
        <f>R29</f>
        <v>-10.87783109228952</v>
      </c>
      <c r="AE23">
        <f>IF(C17=0,S29,AE16)</f>
        <v>9.127584057548889</v>
      </c>
      <c r="AF23">
        <f>$D$5+AD23*COS($L$2*$J$2)-AE23*SIN($L$2*$J$2)</f>
        <v>334202.7070031714</v>
      </c>
      <c r="AG23">
        <f>$E$5+AE23*COS($L$2*$J$2)+AD23*SIN($L$2*$J$2)</f>
        <v>6243626.350228185</v>
      </c>
      <c r="AI23" t="s">
        <v>45</v>
      </c>
      <c r="AJ23">
        <f>AJ22*AJ19</f>
        <v>221.78909619308354</v>
      </c>
    </row>
    <row r="24" spans="2:36" ht="15.75">
      <c r="B24" s="15"/>
      <c r="C24" s="16"/>
      <c r="D24" s="16"/>
      <c r="E24" s="14"/>
      <c r="G24">
        <v>75</v>
      </c>
      <c r="H24">
        <f t="shared" si="8"/>
        <v>0.5176380902050415</v>
      </c>
      <c r="I24">
        <f>$I$4*$I$6*SIN($L$2*G24)</f>
        <v>1.9318516525781366</v>
      </c>
      <c r="J24">
        <f>$D$5+H24*COS($L$2*$J$2)-I24*SIN($L$2*$J$2)</f>
        <v>334212.6098413624</v>
      </c>
      <c r="K24">
        <f>$E$5+I24*COS($L$2*$J$2)+H24*SIN($L$2*$J$2)</f>
        <v>6243635.491840651</v>
      </c>
      <c r="M24">
        <f t="shared" si="9"/>
        <v>112.5</v>
      </c>
      <c r="N24">
        <f t="shared" si="0"/>
        <v>-1.530733729460359</v>
      </c>
      <c r="O24">
        <f t="shared" si="1"/>
        <v>3.695518130045147</v>
      </c>
      <c r="P24">
        <f t="shared" si="2"/>
        <v>334210.3756250754</v>
      </c>
      <c r="Q24">
        <f t="shared" si="3"/>
        <v>6243633.970451767</v>
      </c>
      <c r="R24">
        <f t="shared" si="4"/>
        <v>-5.434104739584291</v>
      </c>
      <c r="S24">
        <f t="shared" si="5"/>
        <v>13.119089361660313</v>
      </c>
      <c r="T24">
        <f>$D$5+R24*COS($L$2*$J$2)-S24*SIN($L$2*$J$2)</f>
        <v>334200.26246136747</v>
      </c>
      <c r="U24">
        <f>$E$5+S24*COS($L$2*$J$2)+R24*SIN($L$2*$J$2)</f>
        <v>6243632.642325336</v>
      </c>
      <c r="V24">
        <f t="shared" si="6"/>
        <v>-6.582155036679561</v>
      </c>
      <c r="W24">
        <f t="shared" si="7"/>
        <v>15.890727959194175</v>
      </c>
      <c r="X24">
        <f>$D$5+V24*COS($L$2*$J$2)-W24*SIN($L$2*$J$2)</f>
        <v>334197.2880014534</v>
      </c>
      <c r="Y24">
        <f>$E$5+W24*COS($L$2*$J$2)+V24*SIN($L$2*$J$2)</f>
        <v>6243632.251699916</v>
      </c>
      <c r="AI24" t="s">
        <v>46</v>
      </c>
      <c r="AJ24">
        <f>C16+C17</f>
        <v>0</v>
      </c>
    </row>
    <row r="25" spans="2:36" ht="15.75">
      <c r="B25" s="15"/>
      <c r="C25" s="16"/>
      <c r="D25" s="14"/>
      <c r="E25" s="14"/>
      <c r="G25">
        <v>80</v>
      </c>
      <c r="H25">
        <f t="shared" si="8"/>
        <v>0.34729635533386083</v>
      </c>
      <c r="I25">
        <f>$I$4*$I$6*SIN($L$2*G25)</f>
        <v>1.969615506024416</v>
      </c>
      <c r="J25">
        <f>$D$5+H25*COS($L$2*$J$2)-I25*SIN($L$2*$J$2)</f>
        <v>334212.52922700555</v>
      </c>
      <c r="K25">
        <f>$E$5+I25*COS($L$2*$J$2)+H25*SIN($L$2*$J$2)</f>
        <v>6243635.337103</v>
      </c>
      <c r="M25">
        <f t="shared" si="9"/>
        <v>118</v>
      </c>
      <c r="N25">
        <f t="shared" si="0"/>
        <v>-1.8778862511435637</v>
      </c>
      <c r="O25">
        <f t="shared" si="1"/>
        <v>3.5317903714357075</v>
      </c>
      <c r="P25">
        <f t="shared" si="2"/>
        <v>334210.4438032232</v>
      </c>
      <c r="Q25">
        <f t="shared" si="3"/>
        <v>6243633.59273045</v>
      </c>
      <c r="R25">
        <f t="shared" si="4"/>
        <v>-6.6664961915596725</v>
      </c>
      <c r="S25">
        <f t="shared" si="5"/>
        <v>12.537855818596801</v>
      </c>
      <c r="T25">
        <f>$D$5+R25*COS($L$2*$J$2)-S25*SIN($L$2*$J$2)</f>
        <v>334200.504493792</v>
      </c>
      <c r="U25">
        <f>$E$5+S25*COS($L$2*$J$2)+R25*SIN($L$2*$J$2)</f>
        <v>6243631.301414665</v>
      </c>
      <c r="V25">
        <f t="shared" si="6"/>
        <v>-8.074910879917345</v>
      </c>
      <c r="W25">
        <f t="shared" si="7"/>
        <v>15.186698597173583</v>
      </c>
      <c r="X25">
        <f>$D$5+V25*COS($L$2*$J$2)-W25*SIN($L$2*$J$2)</f>
        <v>334197.5811674887</v>
      </c>
      <c r="Y25">
        <f>$E$5+W25*COS($L$2*$J$2)+V25*SIN($L$2*$J$2)</f>
        <v>6243630.627498258</v>
      </c>
      <c r="AI25" t="s">
        <v>47</v>
      </c>
      <c r="AJ25">
        <f>AJ24*AJ19</f>
        <v>0</v>
      </c>
    </row>
    <row r="26" spans="3:36" ht="15.75">
      <c r="C26" s="17"/>
      <c r="D26" s="14"/>
      <c r="E26" s="14"/>
      <c r="G26">
        <v>85</v>
      </c>
      <c r="H26">
        <f t="shared" si="8"/>
        <v>0.17431148549531628</v>
      </c>
      <c r="I26">
        <f>$I$4*$I$6*SIN($L$2*G26)</f>
        <v>1.992389396183491</v>
      </c>
      <c r="J26">
        <f>$D$5+H26*COS($L$2*$J$2)-I26*SIN($L$2*$J$2)</f>
        <v>334212.46240568557</v>
      </c>
      <c r="K26">
        <f>$E$5+I26*COS($L$2*$J$2)+H26*SIN($L$2*$J$2)</f>
        <v>6243635.175928168</v>
      </c>
      <c r="M26">
        <f t="shared" si="9"/>
        <v>123.5</v>
      </c>
      <c r="N26">
        <f t="shared" si="0"/>
        <v>-2.2077479412482326</v>
      </c>
      <c r="O26">
        <f t="shared" si="1"/>
        <v>3.335543288268673</v>
      </c>
      <c r="P26">
        <f t="shared" si="2"/>
        <v>334210.5478704761</v>
      </c>
      <c r="Q26">
        <f t="shared" si="3"/>
        <v>6243633.223282675</v>
      </c>
      <c r="R26">
        <f t="shared" si="4"/>
        <v>-7.837505191431251</v>
      </c>
      <c r="S26">
        <f t="shared" si="5"/>
        <v>11.841178673353827</v>
      </c>
      <c r="T26">
        <f>$D$5+R26*COS($L$2*$J$2)-S26*SIN($L$2*$J$2)</f>
        <v>334200.87393253966</v>
      </c>
      <c r="U26">
        <f>$E$5+S26*COS($L$2*$J$2)+R26*SIN($L$2*$J$2)</f>
        <v>6243629.9898750605</v>
      </c>
      <c r="V26">
        <f t="shared" si="6"/>
        <v>-9.493316147367425</v>
      </c>
      <c r="W26">
        <f t="shared" si="7"/>
        <v>14.342836139555331</v>
      </c>
      <c r="X26">
        <f>$D$5+V26*COS($L$2*$J$2)-W26*SIN($L$2*$J$2)</f>
        <v>334198.028656676</v>
      </c>
      <c r="Y26">
        <f>$E$5+W26*COS($L$2*$J$2)+V26*SIN($L$2*$J$2)</f>
        <v>6243629.038872821</v>
      </c>
      <c r="AI26" t="s">
        <v>48</v>
      </c>
      <c r="AJ26">
        <f>AJ23+AJ25</f>
        <v>221.78909619308354</v>
      </c>
    </row>
    <row r="27" spans="7:25" ht="12.75">
      <c r="G27">
        <v>90</v>
      </c>
      <c r="H27">
        <f t="shared" si="8"/>
        <v>1.22514845490862E-16</v>
      </c>
      <c r="I27">
        <f>$I$4*$I$6*SIN($L$2*G27)</f>
        <v>2</v>
      </c>
      <c r="J27">
        <f>$D$5+H27*COS($L$2*$J$2)-I27*SIN($L$2*$J$2)</f>
        <v>334212.4098859531</v>
      </c>
      <c r="K27">
        <f>$E$5+I27*COS($L$2*$J$2)+H27*SIN($L$2*$J$2)</f>
        <v>6243635.009542793</v>
      </c>
      <c r="M27">
        <f t="shared" si="9"/>
        <v>129</v>
      </c>
      <c r="N27">
        <f t="shared" si="0"/>
        <v>-2.517281564199349</v>
      </c>
      <c r="O27">
        <f t="shared" si="1"/>
        <v>3.108583845827884</v>
      </c>
      <c r="P27">
        <f t="shared" si="2"/>
        <v>334210.686868624</v>
      </c>
      <c r="Q27">
        <f t="shared" si="3"/>
        <v>6243632.8655101685</v>
      </c>
      <c r="R27">
        <f t="shared" si="4"/>
        <v>-8.936349552907718</v>
      </c>
      <c r="S27">
        <f t="shared" si="5"/>
        <v>11.035472652689023</v>
      </c>
      <c r="T27">
        <f>$D$5+R27*COS($L$2*$J$2)-S27*SIN($L$2*$J$2)</f>
        <v>334201.3673759649</v>
      </c>
      <c r="U27">
        <f>$E$5+S27*COS($L$2*$J$2)+R27*SIN($L$2*$J$2)</f>
        <v>6243628.719782659</v>
      </c>
      <c r="V27">
        <f t="shared" si="6"/>
        <v>-10.824310726057229</v>
      </c>
      <c r="W27">
        <f t="shared" si="7"/>
        <v>13.366910537059937</v>
      </c>
      <c r="X27">
        <f>$D$5+V27*COS($L$2*$J$2)-W27*SIN($L$2*$J$2)</f>
        <v>334198.6263487122</v>
      </c>
      <c r="Y27">
        <f>$E$5+W27*COS($L$2*$J$2)+V27*SIN($L$2*$J$2)</f>
        <v>6243627.500451039</v>
      </c>
    </row>
    <row r="28" spans="7:25" ht="12.75">
      <c r="G28">
        <v>95</v>
      </c>
      <c r="H28">
        <f t="shared" si="8"/>
        <v>-0.17431148549531647</v>
      </c>
      <c r="I28">
        <f>$I$4*$I$6*SIN($L$2*G28)</f>
        <v>1.992389396183491</v>
      </c>
      <c r="J28">
        <f>$D$5+H28*COS($L$2*$J$2)-I28*SIN($L$2*$J$2)</f>
        <v>334212.37206751504</v>
      </c>
      <c r="K28">
        <f>$E$5+I28*COS($L$2*$J$2)+H28*SIN($L$2*$J$2)</f>
        <v>6243634.839213168</v>
      </c>
      <c r="M28">
        <f t="shared" si="9"/>
        <v>134.5</v>
      </c>
      <c r="N28">
        <f t="shared" si="0"/>
        <v>-2.8036370571994036</v>
      </c>
      <c r="O28">
        <f t="shared" si="1"/>
        <v>2.8530017966167263</v>
      </c>
      <c r="P28">
        <f t="shared" si="2"/>
        <v>334210.8595178273</v>
      </c>
      <c r="Q28">
        <f t="shared" si="3"/>
        <v>6243632.522707156</v>
      </c>
      <c r="R28">
        <f t="shared" si="4"/>
        <v>-9.952911553057914</v>
      </c>
      <c r="S28">
        <f t="shared" si="5"/>
        <v>10.128156377989411</v>
      </c>
      <c r="T28">
        <f>$D$5+R28*COS($L$2*$J$2)-S28*SIN($L$2*$J$2)</f>
        <v>334201.9802806365</v>
      </c>
      <c r="U28">
        <f>$E$5+S28*COS($L$2*$J$2)+R28*SIN($L$2*$J$2)</f>
        <v>6243627.502831968</v>
      </c>
      <c r="V28">
        <f t="shared" si="6"/>
        <v>-12.055639345957466</v>
      </c>
      <c r="W28">
        <f t="shared" si="7"/>
        <v>12.267907725451956</v>
      </c>
      <c r="X28">
        <f>$D$5+V28*COS($L$2*$J$2)-W28*SIN($L$2*$J$2)</f>
        <v>334199.3687402862</v>
      </c>
      <c r="Y28">
        <f>$E$5+W28*COS($L$2*$J$2)+V28*SIN($L$2*$J$2)</f>
        <v>6243626.026398088</v>
      </c>
    </row>
    <row r="29" spans="7:25" ht="12.75">
      <c r="G29">
        <v>100</v>
      </c>
      <c r="H29">
        <f t="shared" si="8"/>
        <v>-0.3472963553338606</v>
      </c>
      <c r="I29">
        <f>$I$4*$I$6*SIN($L$2*G29)</f>
        <v>1.969615506024416</v>
      </c>
      <c r="J29">
        <f>$D$5+H29*COS($L$2*$J$2)-I29*SIN($L$2*$J$2)</f>
        <v>334212.34923819243</v>
      </c>
      <c r="K29">
        <f>$E$5+I29*COS($L$2*$J$2)+H29*SIN($L$2*$J$2)</f>
        <v>6243634.666235605</v>
      </c>
      <c r="M29">
        <f t="shared" si="9"/>
        <v>140</v>
      </c>
      <c r="N29">
        <f t="shared" si="0"/>
        <v>-3.0641777724759116</v>
      </c>
      <c r="O29">
        <f t="shared" si="1"/>
        <v>2.571150438746158</v>
      </c>
      <c r="P29">
        <f t="shared" si="2"/>
        <v>334211.0642284005</v>
      </c>
      <c r="Q29">
        <f t="shared" si="3"/>
        <v>6243632.198030034</v>
      </c>
      <c r="R29">
        <f t="shared" si="4"/>
        <v>-10.87783109228952</v>
      </c>
      <c r="S29">
        <f t="shared" si="5"/>
        <v>9.127584057548889</v>
      </c>
      <c r="T29">
        <f>$D$5+R29*COS($L$2*$J$2)-S29*SIN($L$2*$J$2)</f>
        <v>334202.7070031714</v>
      </c>
      <c r="U29">
        <f>$E$5+S29*COS($L$2*$J$2)+R29*SIN($L$2*$J$2)</f>
        <v>6243626.350228185</v>
      </c>
      <c r="V29">
        <f t="shared" si="6"/>
        <v>-13.175964421646455</v>
      </c>
      <c r="W29">
        <f t="shared" si="7"/>
        <v>11.055946886608508</v>
      </c>
      <c r="X29">
        <f>$D$5+V29*COS($L$2*$J$2)-W29*SIN($L$2*$J$2)</f>
        <v>334200.248995751</v>
      </c>
      <c r="Y29">
        <f>$E$5+W29*COS($L$2*$J$2)+V29*SIN($L$2*$J$2)</f>
        <v>6243624.6302864645</v>
      </c>
    </row>
    <row r="30" spans="7:11" ht="12.75">
      <c r="G30">
        <v>105</v>
      </c>
      <c r="H30">
        <f t="shared" si="8"/>
        <v>-0.5176380902050417</v>
      </c>
      <c r="I30">
        <f>$I$4*$I$6*SIN($L$2*G30)</f>
        <v>1.9318516525781366</v>
      </c>
      <c r="J30">
        <f>$D$5+H30*COS($L$2*$J$2)-I30*SIN($L$2*$J$2)</f>
        <v>334212.34157173027</v>
      </c>
      <c r="K30">
        <f>$E$5+I30*COS($L$2*$J$2)+H30*SIN($L$2*$J$2)</f>
        <v>6243634.491926568</v>
      </c>
    </row>
    <row r="31" spans="5:11" ht="15.75">
      <c r="E31" s="4"/>
      <c r="F31" s="4"/>
      <c r="G31">
        <v>110</v>
      </c>
      <c r="H31">
        <f t="shared" si="8"/>
        <v>-0.6840402866513374</v>
      </c>
      <c r="I31">
        <f>$I$4*$I$6*SIN($L$2*G31)</f>
        <v>1.8793852415718169</v>
      </c>
      <c r="J31">
        <f>$D$5+H31*COS($L$2*$J$2)-I31*SIN($L$2*$J$2)</f>
        <v>334212.349126475</v>
      </c>
      <c r="K31">
        <f>$E$5+I31*COS($L$2*$J$2)+H31*SIN($L$2*$J$2)</f>
        <v>6243634.317612653</v>
      </c>
    </row>
    <row r="32" spans="5:11" ht="15.75">
      <c r="E32" s="4"/>
      <c r="F32" s="4"/>
      <c r="G32">
        <v>115</v>
      </c>
      <c r="H32">
        <f t="shared" si="8"/>
        <v>-0.8452365234813987</v>
      </c>
      <c r="I32">
        <f>$I$4*$I$6*SIN($L$2*G32)</f>
        <v>1.8126155740733</v>
      </c>
      <c r="J32">
        <f>$D$5+H32*COS($L$2*$J$2)-I32*SIN($L$2*$J$2)</f>
        <v>334212.37184493034</v>
      </c>
      <c r="K32">
        <f>$E$5+I32*COS($L$2*$J$2)+H32*SIN($L$2*$J$2)</f>
        <v>6243634.144620494</v>
      </c>
    </row>
    <row r="33" spans="7:11" ht="12.75">
      <c r="G33">
        <v>120</v>
      </c>
      <c r="H33">
        <f t="shared" si="8"/>
        <v>-0.9999999999999996</v>
      </c>
      <c r="I33">
        <f>$I$4*$I$6*SIN($L$2*G33)</f>
        <v>1.7320508075688774</v>
      </c>
      <c r="J33">
        <f>$D$5+H33*COS($L$2*$J$2)-I33*SIN($L$2*$J$2)</f>
        <v>334212.4095541953</v>
      </c>
      <c r="K33">
        <f>$E$5+I33*COS($L$2*$J$2)+H33*SIN($L$2*$J$2)</f>
        <v>6243633.974266666</v>
      </c>
    </row>
    <row r="34" spans="7:11" ht="12.75">
      <c r="G34">
        <v>125</v>
      </c>
      <c r="H34">
        <f t="shared" si="8"/>
        <v>-1.1471528727020923</v>
      </c>
      <c r="I34">
        <f>$I$4*$I$6*SIN($L$2*G34)</f>
        <v>1.6383040885779834</v>
      </c>
      <c r="J34">
        <f>$D$5+H34*COS($L$2*$J$2)-I34*SIN($L$2*$J$2)</f>
        <v>334212.4619672795</v>
      </c>
      <c r="K34">
        <f>$E$5+I34*COS($L$2*$J$2)+H34*SIN($L$2*$J$2)</f>
        <v>6243633.807847665</v>
      </c>
    </row>
    <row r="35" spans="7:11" ht="12.75">
      <c r="G35">
        <v>130</v>
      </c>
      <c r="H35">
        <f t="shared" si="8"/>
        <v>-1.2855752193730787</v>
      </c>
      <c r="I35">
        <f>$I$4*$I$6*SIN($L$2*G35)</f>
        <v>1.532088886237956</v>
      </c>
      <c r="J35">
        <f>$D$5+H35*COS($L$2*$J$2)-I35*SIN($L$2*$J$2)</f>
        <v>334212.52868528763</v>
      </c>
      <c r="K35">
        <f>$E$5+I35*COS($L$2*$J$2)+H35*SIN($L$2*$J$2)</f>
        <v>6243633.64663004</v>
      </c>
    </row>
    <row r="36" spans="7:11" ht="12.75">
      <c r="G36">
        <v>135</v>
      </c>
      <c r="H36">
        <f t="shared" si="8"/>
        <v>-1.414213562373095</v>
      </c>
      <c r="I36">
        <f>$I$4*$I$6*SIN($L$2*G36)</f>
        <v>1.4142135623730951</v>
      </c>
      <c r="J36">
        <f>$D$5+H36*COS($L$2*$J$2)-I36*SIN($L$2*$J$2)</f>
        <v>334212.6092004555</v>
      </c>
      <c r="K36">
        <f>$E$5+I36*COS($L$2*$J$2)+H36*SIN($L$2*$J$2)</f>
        <v>6243633.491840754</v>
      </c>
    </row>
    <row r="37" spans="7:11" ht="12.75">
      <c r="G37">
        <v>140</v>
      </c>
      <c r="H37">
        <f t="shared" si="8"/>
        <v>-1.5320888862379558</v>
      </c>
      <c r="I37">
        <f>$I$4*$I$6*SIN($L$2*G37)</f>
        <v>1.285575219373079</v>
      </c>
      <c r="J37">
        <f>$D$5+H37*COS($L$2*$J$2)-I37*SIN($L$2*$J$2)</f>
        <v>334212.702900014</v>
      </c>
      <c r="K37">
        <f>$E$5+I37*COS($L$2*$J$2)+H37*SIN($L$2*$J$2)</f>
        <v>6243633.344657848</v>
      </c>
    </row>
    <row r="38" spans="7:11" ht="12.75">
      <c r="G38">
        <v>145</v>
      </c>
      <c r="H38">
        <f t="shared" si="8"/>
        <v>-1.6383040885779838</v>
      </c>
      <c r="I38">
        <f>$I$4*$I$6*SIN($L$2*G38)</f>
        <v>1.1471528727020919</v>
      </c>
      <c r="J38">
        <f>$D$5+H38*COS($L$2*$J$2)-I38*SIN($L$2*$J$2)</f>
        <v>334212.809070853</v>
      </c>
      <c r="K38">
        <f>$E$5+I38*COS($L$2*$J$2)+H38*SIN($L$2*$J$2)</f>
        <v>6243633.20620147</v>
      </c>
    </row>
    <row r="39" spans="7:11" ht="12.75">
      <c r="G39">
        <v>150</v>
      </c>
      <c r="H39">
        <f t="shared" si="8"/>
        <v>-1.7320508075688774</v>
      </c>
      <c r="I39">
        <f>$I$4*$I$6*SIN($L$2*G39)</f>
        <v>0.9999999999999999</v>
      </c>
      <c r="J39">
        <f>$D$5+H39*COS($L$2*$J$2)-I39*SIN($L$2*$J$2)</f>
        <v>334212.92690494825</v>
      </c>
      <c r="K39">
        <f>$E$5+I39*COS($L$2*$J$2)+H39*SIN($L$2*$J$2)</f>
        <v>6243633.0775253605</v>
      </c>
    </row>
    <row r="40" spans="7:11" ht="12.75">
      <c r="G40">
        <v>155</v>
      </c>
      <c r="H40">
        <f t="shared" si="8"/>
        <v>-1.8126155740732999</v>
      </c>
      <c r="I40">
        <f>$I$4*$I$6*SIN($L$2*G40)</f>
        <v>0.845236523481399</v>
      </c>
      <c r="J40">
        <f>$D$5+H40*COS($L$2*$J$2)-I40*SIN($L$2*$J$2)</f>
        <v>334213.0555055111</v>
      </c>
      <c r="K40">
        <f>$E$5+I40*COS($L$2*$J$2)+H40*SIN($L$2*$J$2)</f>
        <v>6243632.95960882</v>
      </c>
    </row>
    <row r="41" spans="7:11" ht="12.75">
      <c r="G41">
        <v>160</v>
      </c>
      <c r="H41">
        <f t="shared" si="8"/>
        <v>-1.8793852415718166</v>
      </c>
      <c r="I41">
        <f>$I$4*$I$6*SIN($L$2*G41)</f>
        <v>0.6840402866513378</v>
      </c>
      <c r="J41">
        <f>$D$5+H41*COS($L$2*$J$2)-I41*SIN($L$2*$J$2)</f>
        <v>334213.1938938136</v>
      </c>
      <c r="K41">
        <f>$E$5+I41*COS($L$2*$J$2)+H41*SIN($L$2*$J$2)</f>
        <v>6243632.853349266</v>
      </c>
    </row>
    <row r="42" spans="7:11" ht="12.75">
      <c r="G42">
        <v>165</v>
      </c>
      <c r="H42">
        <f t="shared" si="8"/>
        <v>-1.9318516525781364</v>
      </c>
      <c r="I42">
        <f>$I$4*$I$6*SIN($L$2*G42)</f>
        <v>0.517638090205042</v>
      </c>
      <c r="J42">
        <f>$D$5+H42*COS($L$2*$J$2)-I42*SIN($L$2*$J$2)</f>
        <v>334213.3410166373</v>
      </c>
      <c r="K42">
        <f>$E$5+I42*COS($L$2*$J$2)+H42*SIN($L$2*$J$2)</f>
        <v>6243632.759555396</v>
      </c>
    </row>
    <row r="43" spans="7:11" ht="12.75">
      <c r="G43">
        <v>170</v>
      </c>
      <c r="H43">
        <f t="shared" si="8"/>
        <v>-1.969615506024416</v>
      </c>
      <c r="I43">
        <f>$I$4*$I$6*SIN($L$2*G43)</f>
        <v>0.34729635533386055</v>
      </c>
      <c r="J43">
        <f>$D$5+H43*COS($L$2*$J$2)-I43*SIN($L$2*$J$2)</f>
        <v>334213.49575428857</v>
      </c>
      <c r="K43">
        <f>$E$5+I43*COS($L$2*$J$2)+H43*SIN($L$2*$J$2)</f>
        <v>6243632.678941039</v>
      </c>
    </row>
    <row r="44" spans="7:11" ht="12.75">
      <c r="G44">
        <v>175</v>
      </c>
      <c r="H44">
        <f t="shared" si="8"/>
        <v>-1.992389396183491</v>
      </c>
      <c r="I44">
        <f>$I$4*$I$6*SIN($L$2*G44)</f>
        <v>0.1743114854953164</v>
      </c>
      <c r="J44">
        <f>$D$5+H44*COS($L$2*$J$2)-I44*SIN($L$2*$J$2)</f>
        <v>334213.6569291206</v>
      </c>
      <c r="K44">
        <f>$E$5+I44*COS($L$2*$J$2)+H44*SIN($L$2*$J$2)</f>
        <v>6243632.612119719</v>
      </c>
    </row>
    <row r="45" spans="7:11" ht="12.75">
      <c r="G45">
        <v>180</v>
      </c>
      <c r="H45">
        <f t="shared" si="8"/>
        <v>-2</v>
      </c>
      <c r="I45">
        <v>0</v>
      </c>
      <c r="J45">
        <f>$D$5+H45*COS($L$2*$J$2)-I45*SIN($L$2*$J$2)</f>
        <v>334213.82331449544</v>
      </c>
      <c r="K45">
        <f>$E$5+I45*COS($L$2*$J$2)+H45*SIN($L$2*$J$2)</f>
        <v>6243632.559599986</v>
      </c>
    </row>
    <row r="46" spans="7:11" ht="12.75">
      <c r="G46" t="s">
        <v>31</v>
      </c>
      <c r="H46">
        <f>H45</f>
        <v>-2</v>
      </c>
      <c r="I46">
        <f>I8</f>
        <v>-10</v>
      </c>
      <c r="J46">
        <f>$D$5+H46*COS($L$2*$J$2)-I46*SIN($L$2*$J$2)</f>
        <v>334223.48174286785</v>
      </c>
      <c r="K46">
        <f>$E$5+I46*COS($L$2*$J$2)+H46*SIN($L$2*$J$2)</f>
        <v>6243629.968314325</v>
      </c>
    </row>
    <row r="47" ht="12.75">
      <c r="I47" s="7"/>
    </row>
    <row r="48" ht="12.75">
      <c r="I48" s="7"/>
    </row>
    <row r="49" ht="15.75">
      <c r="I49" s="3"/>
    </row>
    <row r="50" ht="15.75">
      <c r="I50" s="3"/>
    </row>
    <row r="51" ht="15.75">
      <c r="I51" s="3"/>
    </row>
    <row r="52" ht="15.75">
      <c r="I52" s="3"/>
    </row>
    <row r="53" ht="15.75">
      <c r="I53" s="3"/>
    </row>
    <row r="54" ht="15.75">
      <c r="I54" s="3"/>
    </row>
    <row r="55" ht="15.75">
      <c r="I55" s="3"/>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12"/>
  <dimension ref="A1:B122"/>
  <sheetViews>
    <sheetView workbookViewId="0" topLeftCell="A1">
      <selection activeCell="C123" sqref="C123"/>
    </sheetView>
  </sheetViews>
  <sheetFormatPr defaultColWidth="9.140625" defaultRowHeight="12.75"/>
  <cols>
    <col min="1" max="1" width="10.140625" style="0" customWidth="1"/>
    <col min="2" max="2" width="10.7109375" style="0" customWidth="1"/>
  </cols>
  <sheetData>
    <row r="1" ht="12.75">
      <c r="A1" t="s">
        <v>53</v>
      </c>
    </row>
    <row r="2" spans="1:2" ht="12.75">
      <c r="A2">
        <f>'Spur Data'!J8</f>
        <v>334224.51825713215</v>
      </c>
      <c r="B2">
        <f>'Spur Data'!K8</f>
        <v>6243633.831685675</v>
      </c>
    </row>
    <row r="3" spans="1:2" ht="12.75">
      <c r="A3">
        <f>'Spur Data'!J9</f>
        <v>334214.85982875974</v>
      </c>
      <c r="B3">
        <f>'Spur Data'!K9</f>
        <v>6243636.422971336</v>
      </c>
    </row>
    <row r="4" spans="1:2" ht="12.75">
      <c r="A4">
        <f>'Spur Data'!J10</f>
        <v>334214.6894991352</v>
      </c>
      <c r="B4">
        <f>'Spur Data'!K10</f>
        <v>6243636.460789774</v>
      </c>
    </row>
    <row r="5" spans="1:2" ht="12.75">
      <c r="A5">
        <f>'Spur Data'!J11</f>
        <v>334214.5165215722</v>
      </c>
      <c r="B5">
        <f>'Spur Data'!K11</f>
        <v>6243636.483619096</v>
      </c>
    </row>
    <row r="6" spans="1:2" ht="12.75">
      <c r="A6">
        <f>'Spur Data'!J12</f>
        <v>334214.3422125345</v>
      </c>
      <c r="B6">
        <f>'Spur Data'!K12</f>
        <v>6243636.491285559</v>
      </c>
    </row>
    <row r="7" spans="1:2" ht="12.75">
      <c r="A7">
        <f>'Spur Data'!J13</f>
        <v>334214.16789861914</v>
      </c>
      <c r="B7">
        <f>'Spur Data'!K13</f>
        <v>6243636.483730814</v>
      </c>
    </row>
    <row r="8" spans="1:2" ht="12.75">
      <c r="A8">
        <f>'Spur Data'!J14</f>
        <v>334213.99490646017</v>
      </c>
      <c r="B8">
        <f>'Spur Data'!K14</f>
        <v>6243636.461012359</v>
      </c>
    </row>
    <row r="9" spans="1:2" ht="12.75">
      <c r="A9">
        <f>'Spur Data'!J15</f>
        <v>334213.82455263246</v>
      </c>
      <c r="B9">
        <f>'Spur Data'!K15</f>
        <v>6243636.423303094</v>
      </c>
    </row>
    <row r="10" spans="1:2" ht="12.75">
      <c r="A10">
        <f>'Spur Data'!J16</f>
        <v>334213.6581336315</v>
      </c>
      <c r="B10">
        <f>'Spur Data'!K16</f>
        <v>6243636.370890009</v>
      </c>
    </row>
    <row r="11" spans="1:2" ht="12.75">
      <c r="A11">
        <f>'Spur Data'!J17</f>
        <v>334213.49691600644</v>
      </c>
      <c r="B11">
        <f>'Spur Data'!K17</f>
        <v>6243636.304172002</v>
      </c>
    </row>
    <row r="12" spans="1:2" ht="12.75">
      <c r="A12">
        <f>'Spur Data'!J18</f>
        <v>334213.3421267206</v>
      </c>
      <c r="B12">
        <f>'Spur Data'!K18</f>
        <v>6243636.223656833</v>
      </c>
    </row>
    <row r="13" spans="1:2" ht="12.75">
      <c r="A13">
        <f>'Spur Data'!J19</f>
        <v>334213.194943814</v>
      </c>
      <c r="B13">
        <f>'Spur Data'!K19</f>
        <v>6243636.1299572745</v>
      </c>
    </row>
    <row r="14" spans="1:2" ht="12.75">
      <c r="A14">
        <f>'Spur Data'!J20</f>
        <v>334213.0564874374</v>
      </c>
      <c r="B14">
        <f>'Spur Data'!K20</f>
        <v>6243636.023786436</v>
      </c>
    </row>
    <row r="15" spans="1:2" ht="12.75">
      <c r="A15">
        <f>'Spur Data'!J21</f>
        <v>334212.92781132745</v>
      </c>
      <c r="B15">
        <f>'Spur Data'!K21</f>
        <v>6243635.905952341</v>
      </c>
    </row>
    <row r="16" spans="1:2" ht="12.75">
      <c r="A16">
        <f>'Spur Data'!J22</f>
        <v>334212.80989478703</v>
      </c>
      <c r="B16">
        <f>'Spur Data'!K22</f>
        <v>6243635.777351777</v>
      </c>
    </row>
    <row r="17" spans="1:2" ht="12.75">
      <c r="A17">
        <f>'Spur Data'!J23</f>
        <v>334212.70363523223</v>
      </c>
      <c r="B17">
        <f>'Spur Data'!K23</f>
        <v>6243635.638963475</v>
      </c>
    </row>
    <row r="18" spans="1:2" ht="12.75">
      <c r="A18">
        <f>'Spur Data'!J24</f>
        <v>334212.6098413624</v>
      </c>
      <c r="B18">
        <f>'Spur Data'!K24</f>
        <v>6243635.491840651</v>
      </c>
    </row>
    <row r="19" spans="1:2" ht="12.75">
      <c r="A19">
        <f>'Spur Data'!J25</f>
        <v>334212.52922700555</v>
      </c>
      <c r="B19">
        <f>'Spur Data'!K25</f>
        <v>6243635.337103</v>
      </c>
    </row>
    <row r="20" spans="1:2" ht="12.75">
      <c r="A20">
        <f>'Spur Data'!J26</f>
        <v>334212.46240568557</v>
      </c>
      <c r="B20">
        <f>'Spur Data'!K26</f>
        <v>6243635.175928168</v>
      </c>
    </row>
    <row r="21" spans="1:2" ht="12.75">
      <c r="A21">
        <f>'Spur Data'!J27</f>
        <v>334212.4098859531</v>
      </c>
      <c r="B21">
        <f>'Spur Data'!K27</f>
        <v>6243635.009542793</v>
      </c>
    </row>
    <row r="22" spans="1:2" ht="12.75">
      <c r="A22">
        <f>'Spur Data'!J28</f>
        <v>334212.37206751504</v>
      </c>
      <c r="B22">
        <f>'Spur Data'!K28</f>
        <v>6243634.839213168</v>
      </c>
    </row>
    <row r="23" spans="1:2" ht="12.75">
      <c r="A23">
        <f>'Spur Data'!J29</f>
        <v>334212.34923819243</v>
      </c>
      <c r="B23">
        <f>'Spur Data'!K29</f>
        <v>6243634.666235605</v>
      </c>
    </row>
    <row r="24" spans="1:2" ht="12.75">
      <c r="A24">
        <f>'Spur Data'!J30</f>
        <v>334212.34157173027</v>
      </c>
      <c r="B24">
        <f>'Spur Data'!K30</f>
        <v>6243634.491926568</v>
      </c>
    </row>
    <row r="25" spans="1:2" ht="12.75">
      <c r="A25">
        <f>'Spur Data'!J31</f>
        <v>334212.349126475</v>
      </c>
      <c r="B25">
        <f>'Spur Data'!K31</f>
        <v>6243634.317612653</v>
      </c>
    </row>
    <row r="26" spans="1:2" ht="12.75">
      <c r="A26">
        <f>'Spur Data'!J32</f>
        <v>334212.37184493034</v>
      </c>
      <c r="B26">
        <f>'Spur Data'!K32</f>
        <v>6243634.144620494</v>
      </c>
    </row>
    <row r="27" spans="1:2" ht="12.75">
      <c r="A27">
        <f>'Spur Data'!J33</f>
        <v>334212.4095541953</v>
      </c>
      <c r="B27">
        <f>'Spur Data'!K33</f>
        <v>6243633.974266666</v>
      </c>
    </row>
    <row r="28" spans="1:2" ht="12.75">
      <c r="A28">
        <f>'Spur Data'!J34</f>
        <v>334212.4619672795</v>
      </c>
      <c r="B28">
        <f>'Spur Data'!K34</f>
        <v>6243633.807847665</v>
      </c>
    </row>
    <row r="29" spans="1:2" ht="12.75">
      <c r="A29">
        <f>'Spur Data'!J35</f>
        <v>334212.52868528763</v>
      </c>
      <c r="B29">
        <f>'Spur Data'!K35</f>
        <v>6243633.64663004</v>
      </c>
    </row>
    <row r="30" spans="1:2" ht="12.75">
      <c r="A30">
        <f>'Spur Data'!J36</f>
        <v>334212.6092004555</v>
      </c>
      <c r="B30">
        <f>'Spur Data'!K36</f>
        <v>6243633.491840754</v>
      </c>
    </row>
    <row r="31" spans="1:2" ht="12.75">
      <c r="A31">
        <f>'Spur Data'!J37</f>
        <v>334212.702900014</v>
      </c>
      <c r="B31">
        <f>'Spur Data'!K37</f>
        <v>6243633.344657848</v>
      </c>
    </row>
    <row r="32" spans="1:2" ht="12.75">
      <c r="A32">
        <f>'Spur Data'!J38</f>
        <v>334212.809070853</v>
      </c>
      <c r="B32">
        <f>'Spur Data'!K38</f>
        <v>6243633.20620147</v>
      </c>
    </row>
    <row r="33" spans="1:2" ht="12.75">
      <c r="A33">
        <f>'Spur Data'!J39</f>
        <v>334212.92690494825</v>
      </c>
      <c r="B33">
        <f>'Spur Data'!K39</f>
        <v>6243633.0775253605</v>
      </c>
    </row>
    <row r="34" spans="1:2" ht="12.75">
      <c r="A34">
        <f>'Spur Data'!J40</f>
        <v>334213.0555055111</v>
      </c>
      <c r="B34">
        <f>'Spur Data'!K40</f>
        <v>6243632.95960882</v>
      </c>
    </row>
    <row r="35" spans="1:2" ht="12.75">
      <c r="A35">
        <f>'Spur Data'!J41</f>
        <v>334213.1938938136</v>
      </c>
      <c r="B35">
        <f>'Spur Data'!K41</f>
        <v>6243632.853349266</v>
      </c>
    </row>
    <row r="36" spans="1:2" ht="12.75">
      <c r="A36">
        <f>'Spur Data'!J42</f>
        <v>334213.3410166373</v>
      </c>
      <c r="B36">
        <f>'Spur Data'!K42</f>
        <v>6243632.759555396</v>
      </c>
    </row>
    <row r="37" spans="1:2" ht="12.75">
      <c r="A37">
        <f>'Spur Data'!J43</f>
        <v>334213.49575428857</v>
      </c>
      <c r="B37">
        <f>'Spur Data'!K43</f>
        <v>6243632.678941039</v>
      </c>
    </row>
    <row r="38" spans="1:2" ht="12.75">
      <c r="A38">
        <f>'Spur Data'!J44</f>
        <v>334213.6569291206</v>
      </c>
      <c r="B38">
        <f>'Spur Data'!K44</f>
        <v>6243632.612119719</v>
      </c>
    </row>
    <row r="39" spans="1:2" ht="12.75">
      <c r="A39">
        <f>'Spur Data'!J45</f>
        <v>334213.82331449544</v>
      </c>
      <c r="B39">
        <f>'Spur Data'!K45</f>
        <v>6243632.559599986</v>
      </c>
    </row>
    <row r="40" spans="1:2" ht="12.75">
      <c r="A40">
        <f>'Spur Data'!J46</f>
        <v>334223.48174286785</v>
      </c>
      <c r="B40">
        <f>'Spur Data'!K46</f>
        <v>6243629.968314325</v>
      </c>
    </row>
    <row r="42" ht="12.75">
      <c r="A42" t="s">
        <v>58</v>
      </c>
    </row>
    <row r="43" spans="1:2" ht="12.75">
      <c r="A43">
        <f>'Spur Data'!AF9</f>
        <v>334213.3075336374</v>
      </c>
      <c r="B43">
        <f>'Spur Data'!AG9</f>
        <v>6243638.355320525</v>
      </c>
    </row>
    <row r="44" spans="1:2" ht="12.75">
      <c r="A44">
        <f>'Spur Data'!AF10</f>
        <v>334213.3075336374</v>
      </c>
      <c r="B44">
        <f>'Spur Data'!AG10</f>
        <v>6243638.355320525</v>
      </c>
    </row>
    <row r="45" spans="1:2" ht="12.75">
      <c r="A45">
        <f>'Spur Data'!AF11</f>
        <v>334209.8952082697</v>
      </c>
      <c r="B45">
        <f>'Spur Data'!AG11</f>
        <v>6243651.106635579</v>
      </c>
    </row>
    <row r="46" spans="1:2" ht="12.75">
      <c r="A46">
        <f>'Spur Data'!AF12</f>
        <v>334209.8952082697</v>
      </c>
      <c r="B46">
        <f>'Spur Data'!AG12</f>
        <v>6243651.106635579</v>
      </c>
    </row>
    <row r="47" spans="1:2" ht="12.75">
      <c r="A47">
        <f>'Spur Data'!X9</f>
        <v>334209.8952082697</v>
      </c>
      <c r="B47">
        <f>'Spur Data'!Y9</f>
        <v>6243651.106635579</v>
      </c>
    </row>
    <row r="48" spans="1:2" ht="12.75">
      <c r="A48">
        <f>'Spur Data'!X10</f>
        <v>334208.3231677283</v>
      </c>
      <c r="B48">
        <f>'Spur Data'!Y10</f>
        <v>6243650.603976762</v>
      </c>
    </row>
    <row r="49" spans="1:2" ht="12.75">
      <c r="A49">
        <f>'Spur Data'!X11</f>
        <v>334206.8065422623</v>
      </c>
      <c r="B49">
        <f>'Spur Data'!Y11</f>
        <v>6243649.952958678</v>
      </c>
    </row>
    <row r="50" spans="1:2" ht="12.75">
      <c r="A50">
        <f>'Spur Data'!X12</f>
        <v>334205.3592963574</v>
      </c>
      <c r="B50">
        <f>'Spur Data'!Y12</f>
        <v>6243649.159575642</v>
      </c>
    </row>
    <row r="51" spans="1:2" ht="12.75">
      <c r="A51">
        <f>'Spur Data'!X13</f>
        <v>334203.99475567945</v>
      </c>
      <c r="B51">
        <f>'Spur Data'!Y13</f>
        <v>6243648.231132812</v>
      </c>
    </row>
    <row r="52" spans="1:2" ht="12.75">
      <c r="A52">
        <f>'Spur Data'!X14</f>
        <v>334202.72548437794</v>
      </c>
      <c r="B52">
        <f>'Spur Data'!Y14</f>
        <v>6243647.176178921</v>
      </c>
    </row>
    <row r="53" spans="1:2" ht="12.75">
      <c r="A53">
        <f>'Spur Data'!X15</f>
        <v>334201.5631693993</v>
      </c>
      <c r="B53">
        <f>'Spur Data'!Y15</f>
        <v>6243646.004427564</v>
      </c>
    </row>
    <row r="54" spans="1:2" ht="12.75">
      <c r="A54">
        <f>'Spur Data'!X16</f>
        <v>334200.5185128787</v>
      </c>
      <c r="B54">
        <f>'Spur Data'!Y16</f>
        <v>6243644.7266677655</v>
      </c>
    </row>
    <row r="55" spans="1:2" ht="12.75">
      <c r="A55">
        <f>'Spur Data'!X17</f>
        <v>334199.601133599</v>
      </c>
      <c r="B55">
        <f>'Spur Data'!Y17</f>
        <v>6243643.354664629</v>
      </c>
    </row>
    <row r="56" spans="1:2" ht="12.75">
      <c r="A56">
        <f>'Spur Data'!X18</f>
        <v>334198.8194784247</v>
      </c>
      <c r="B56">
        <f>'Spur Data'!Y18</f>
        <v>6243641.901051016</v>
      </c>
    </row>
    <row r="57" spans="1:2" ht="12.75">
      <c r="A57">
        <f>'Spur Data'!X19</f>
        <v>334198.1807445263</v>
      </c>
      <c r="B57">
        <f>'Spur Data'!Y19</f>
        <v>6243640.379211222</v>
      </c>
    </row>
    <row r="58" spans="1:2" ht="12.75">
      <c r="A58">
        <f>'Spur Data'!X20</f>
        <v>334197.6908131124</v>
      </c>
      <c r="B58">
        <f>'Spur Data'!Y20</f>
        <v>6243638.803157745</v>
      </c>
    </row>
    <row r="59" spans="1:2" ht="12.75">
      <c r="A59">
        <f>'Spur Data'!X21</f>
        <v>334197.354195277</v>
      </c>
      <c r="B59">
        <f>'Spur Data'!Y21</f>
        <v>6243637.187402261</v>
      </c>
    </row>
    <row r="60" spans="1:2" ht="12.75">
      <c r="A60">
        <f>'Spur Data'!X22</f>
        <v>334197.1739904635</v>
      </c>
      <c r="B60">
        <f>'Spur Data'!Y22</f>
        <v>6243635.546822006</v>
      </c>
    </row>
    <row r="61" spans="1:2" ht="12.75">
      <c r="A61">
        <f>'Spur Data'!X23</f>
        <v>334197.1518579264</v>
      </c>
      <c r="B61">
        <f>'Spur Data'!Y23</f>
        <v>6243633.89652279</v>
      </c>
    </row>
    <row r="62" spans="1:2" ht="12.75">
      <c r="A62">
        <f>'Spur Data'!X24</f>
        <v>334197.2880014534</v>
      </c>
      <c r="B62">
        <f>'Spur Data'!Y24</f>
        <v>6243632.251699916</v>
      </c>
    </row>
    <row r="63" spans="1:2" ht="12.75">
      <c r="A63">
        <f>'Spur Data'!X25</f>
        <v>334197.5811674887</v>
      </c>
      <c r="B63">
        <f>'Spur Data'!Y25</f>
        <v>6243630.627498258</v>
      </c>
    </row>
    <row r="64" spans="1:2" ht="12.75">
      <c r="A64">
        <f>'Spur Data'!X26</f>
        <v>334198.028656676</v>
      </c>
      <c r="B64">
        <f>'Spur Data'!Y26</f>
        <v>6243629.038872821</v>
      </c>
    </row>
    <row r="65" spans="1:2" ht="12.75">
      <c r="A65">
        <f>'Spur Data'!X27</f>
        <v>334198.6263487122</v>
      </c>
      <c r="B65">
        <f>'Spur Data'!Y27</f>
        <v>6243627.500451039</v>
      </c>
    </row>
    <row r="66" spans="1:2" ht="12.75">
      <c r="A66">
        <f>'Spur Data'!X28</f>
        <v>334199.3687402862</v>
      </c>
      <c r="B66">
        <f>'Spur Data'!Y28</f>
        <v>6243626.026398088</v>
      </c>
    </row>
    <row r="67" spans="1:2" ht="12.75">
      <c r="A67">
        <f>'Spur Data'!X29</f>
        <v>334200.248995751</v>
      </c>
      <c r="B67">
        <f>'Spur Data'!Y29</f>
        <v>6243624.6302864645</v>
      </c>
    </row>
    <row r="68" spans="1:2" ht="12.75">
      <c r="A68">
        <f>'Spur Data'!AF17</f>
        <v>334200.248995751</v>
      </c>
      <c r="B68">
        <f>'Spur Data'!AG17</f>
        <v>6243624.6302864645</v>
      </c>
    </row>
    <row r="69" spans="1:2" ht="12.75">
      <c r="A69">
        <f>'Spur Data'!AF16</f>
        <v>334200.248995751</v>
      </c>
      <c r="B69">
        <f>'Spur Data'!AG16</f>
        <v>6243624.6302864645</v>
      </c>
    </row>
    <row r="70" spans="1:2" ht="12.75">
      <c r="A70">
        <f>'Spur Data'!AF15</f>
        <v>334211.0642284005</v>
      </c>
      <c r="B70">
        <f>'Spur Data'!AG15</f>
        <v>6243632.198030034</v>
      </c>
    </row>
    <row r="71" spans="1:2" ht="12.75">
      <c r="A71">
        <f>'Spur Data'!AF14</f>
        <v>334211.0642284005</v>
      </c>
      <c r="B71">
        <f>'Spur Data'!AG14</f>
        <v>6243632.198030034</v>
      </c>
    </row>
    <row r="72" spans="1:2" ht="12.75">
      <c r="A72">
        <f>'Spur Data'!P29</f>
        <v>334211.0642284005</v>
      </c>
      <c r="B72">
        <f>'Spur Data'!Q29</f>
        <v>6243632.198030034</v>
      </c>
    </row>
    <row r="73" spans="1:2" ht="12.75">
      <c r="A73">
        <f>'Spur Data'!P28</f>
        <v>334210.8595178273</v>
      </c>
      <c r="B73">
        <f>'Spur Data'!Q28</f>
        <v>6243632.522707156</v>
      </c>
    </row>
    <row r="74" spans="1:2" ht="12.75">
      <c r="A74">
        <f>'Spur Data'!P27</f>
        <v>334210.686868624</v>
      </c>
      <c r="B74">
        <f>'Spur Data'!Q27</f>
        <v>6243632.8655101685</v>
      </c>
    </row>
    <row r="75" spans="1:2" ht="12.75">
      <c r="A75">
        <f>'Spur Data'!P26</f>
        <v>334210.5478704761</v>
      </c>
      <c r="B75">
        <f>'Spur Data'!Q26</f>
        <v>6243633.223282675</v>
      </c>
    </row>
    <row r="76" spans="1:2" ht="12.75">
      <c r="A76">
        <f>'Spur Data'!P25</f>
        <v>334210.4438032232</v>
      </c>
      <c r="B76">
        <f>'Spur Data'!Q25</f>
        <v>6243633.59273045</v>
      </c>
    </row>
    <row r="77" spans="1:2" ht="12.75">
      <c r="A77">
        <f>'Spur Data'!P24</f>
        <v>334210.3756250754</v>
      </c>
      <c r="B77">
        <f>'Spur Data'!Q24</f>
        <v>6243633.970451767</v>
      </c>
    </row>
    <row r="78" spans="1:2" ht="12.75">
      <c r="A78">
        <f>'Spur Data'!P23</f>
        <v>334210.34396379016</v>
      </c>
      <c r="B78">
        <f>'Spur Data'!Q23</f>
        <v>6243634.352968714</v>
      </c>
    </row>
    <row r="79" spans="1:2" ht="12.75">
      <c r="A79">
        <f>'Spur Data'!P22</f>
        <v>334210.3491108918</v>
      </c>
      <c r="B79">
        <f>'Spur Data'!Q22</f>
        <v>6243634.7367592305</v>
      </c>
    </row>
    <row r="80" spans="1:2" ht="12.75">
      <c r="A80">
        <f>'Spur Data'!P21</f>
        <v>334210.3910189879</v>
      </c>
      <c r="B80">
        <f>'Spur Data'!Q21</f>
        <v>6243635.118289522</v>
      </c>
    </row>
    <row r="81" spans="1:2" ht="12.75">
      <c r="A81">
        <f>'Spur Data'!P20</f>
        <v>334210.4693022054</v>
      </c>
      <c r="B81">
        <f>'Spur Data'!Q20</f>
        <v>6243635.494046611</v>
      </c>
    </row>
    <row r="82" spans="1:2" ht="12.75">
      <c r="A82">
        <f>'Spur Data'!P19</f>
        <v>334210.5832397436</v>
      </c>
      <c r="B82">
        <f>'Spur Data'!Q19</f>
        <v>6243635.860570676</v>
      </c>
    </row>
    <row r="83" spans="1:2" ht="12.75">
      <c r="A83">
        <f>'Spur Data'!P18</f>
        <v>334210.73178251064</v>
      </c>
      <c r="B83">
        <f>'Spur Data'!Q18</f>
        <v>6243636.214486906</v>
      </c>
    </row>
    <row r="84" spans="1:2" ht="12.75">
      <c r="A84">
        <f>'Spur Data'!P17</f>
        <v>334210.91356278374</v>
      </c>
      <c r="B84">
        <f>'Spur Data'!Q17</f>
        <v>6243636.552536584</v>
      </c>
    </row>
    <row r="85" spans="1:2" ht="12.75">
      <c r="A85">
        <f>'Spur Data'!P16</f>
        <v>334211.12690680224</v>
      </c>
      <c r="B85">
        <f>'Spur Data'!Q16</f>
        <v>6243636.871607081</v>
      </c>
    </row>
    <row r="86" spans="1:2" ht="12.75">
      <c r="A86">
        <f>'Spur Data'!P15</f>
        <v>334211.3698501792</v>
      </c>
      <c r="B86">
        <f>'Spur Data'!Q15</f>
        <v>6243637.168760523</v>
      </c>
    </row>
    <row r="87" spans="1:2" ht="12.75">
      <c r="A87">
        <f>'Spur Data'!P14</f>
        <v>334211.64015598816</v>
      </c>
      <c r="B87">
        <f>'Spur Data'!Q14</f>
        <v>6243637.441260838</v>
      </c>
    </row>
    <row r="88" spans="1:2" ht="12.75">
      <c r="A88">
        <f>'Spur Data'!P13</f>
        <v>334211.93533536064</v>
      </c>
      <c r="B88">
        <f>'Spur Data'!Q13</f>
        <v>6243637.686598952</v>
      </c>
    </row>
    <row r="89" spans="1:2" ht="12.75">
      <c r="A89">
        <f>'Spur Data'!P12</f>
        <v>334212.25267040194</v>
      </c>
      <c r="B89">
        <f>'Spur Data'!Q12</f>
        <v>6243637.902515889</v>
      </c>
    </row>
    <row r="90" spans="1:2" ht="12.75">
      <c r="A90">
        <f>'Spur Data'!P11</f>
        <v>334212.58923921705</v>
      </c>
      <c r="B90">
        <f>'Spur Data'!Q11</f>
        <v>6243638.087023572</v>
      </c>
    </row>
    <row r="91" spans="1:2" ht="12.75">
      <c r="A91">
        <f>'Spur Data'!P10</f>
        <v>334212.9419428138</v>
      </c>
      <c r="B91">
        <f>'Spur Data'!Q10</f>
        <v>6243638.238423126</v>
      </c>
    </row>
    <row r="92" spans="1:2" ht="12.75">
      <c r="A92">
        <f>'Spur Data'!P9</f>
        <v>334213.3075336374</v>
      </c>
      <c r="B92">
        <f>'Spur Data'!Q9</f>
        <v>6243638.355320525</v>
      </c>
    </row>
    <row r="94" ht="12.75">
      <c r="A94" t="s">
        <v>25</v>
      </c>
    </row>
    <row r="95" spans="1:2" ht="12.75">
      <c r="A95">
        <f>'Spur Data'!AF19</f>
        <v>334210.67073676235</v>
      </c>
      <c r="B95">
        <f>'Spur Data'!AG19</f>
        <v>6243648.20860943</v>
      </c>
    </row>
    <row r="96" spans="1:2" ht="12.75">
      <c r="A96">
        <f>'Spur Data'!AF20</f>
        <v>334210.67073676235</v>
      </c>
      <c r="B96">
        <f>'Spur Data'!AG20</f>
        <v>6243648.20860943</v>
      </c>
    </row>
    <row r="97" spans="1:2" ht="12.75">
      <c r="A97">
        <f>'Spur Data'!T9</f>
        <v>334210.67073676235</v>
      </c>
      <c r="B97">
        <f>'Spur Data'!U9</f>
        <v>6243648.20860943</v>
      </c>
    </row>
    <row r="98" spans="1:2" ht="12.75">
      <c r="A98">
        <f>'Spur Data'!T10</f>
        <v>334209.37288933864</v>
      </c>
      <c r="B98">
        <f>'Spur Data'!U10</f>
        <v>6243647.793623663</v>
      </c>
    </row>
    <row r="99" spans="1:2" ht="12.75">
      <c r="A99">
        <f>'Spur Data'!T11</f>
        <v>334208.1207915702</v>
      </c>
      <c r="B99">
        <f>'Spur Data'!U11</f>
        <v>6243647.256155244</v>
      </c>
    </row>
    <row r="100" spans="1:2" ht="12.75">
      <c r="A100">
        <f>'Spur Data'!T12</f>
        <v>334206.9259722766</v>
      </c>
      <c r="B100">
        <f>'Spur Data'!U12</f>
        <v>6243646.601152971</v>
      </c>
    </row>
    <row r="101" spans="1:2" ht="12.75">
      <c r="A101">
        <f>'Spur Data'!T13</f>
        <v>334205.7994328797</v>
      </c>
      <c r="B101">
        <f>'Spur Data'!U13</f>
        <v>6243645.834647844</v>
      </c>
    </row>
    <row r="102" spans="1:2" ht="12.75">
      <c r="A102">
        <f>'Spur Data'!T14</f>
        <v>334204.7515461075</v>
      </c>
      <c r="B102">
        <f>'Spur Data'!U14</f>
        <v>6243644.963697539</v>
      </c>
    </row>
    <row r="103" spans="1:2" ht="12.75">
      <c r="A103">
        <f>'Spur Data'!T15</f>
        <v>334203.7919604856</v>
      </c>
      <c r="B103">
        <f>'Spur Data'!U15</f>
        <v>6243643.996321418</v>
      </c>
    </row>
    <row r="104" spans="1:2" ht="12.75">
      <c r="A104">
        <f>'Spur Data'!T16</f>
        <v>334202.92951149767</v>
      </c>
      <c r="B104">
        <f>'Spur Data'!U16</f>
        <v>6243642.941426701</v>
      </c>
    </row>
    <row r="105" spans="1:2" ht="12.75">
      <c r="A105">
        <f>'Spur Data'!T17</f>
        <v>334202.1721402319</v>
      </c>
      <c r="B105">
        <f>'Spur Data'!U17</f>
        <v>6243641.808726437</v>
      </c>
    </row>
    <row r="106" spans="1:2" ht="12.75">
      <c r="A106">
        <f>'Spur Data'!T18</f>
        <v>334201.52682026237</v>
      </c>
      <c r="B106">
        <f>'Spur Data'!U18</f>
        <v>6243640.608650081</v>
      </c>
    </row>
    <row r="107" spans="1:2" ht="12.75">
      <c r="A107">
        <f>'Spur Data'!T19</f>
        <v>334200.99949343933</v>
      </c>
      <c r="B107">
        <f>'Spur Data'!U19</f>
        <v>6243639.352247462</v>
      </c>
    </row>
    <row r="108" spans="1:2" ht="12.75">
      <c r="A108">
        <f>'Spur Data'!T20</f>
        <v>334200.595015179</v>
      </c>
      <c r="B108">
        <f>'Spur Data'!U20</f>
        <v>6243638.051087033</v>
      </c>
    </row>
    <row r="109" spans="1:2" ht="12.75">
      <c r="A109">
        <f>'Spur Data'!T21</f>
        <v>334200.31710975675</v>
      </c>
      <c r="B109">
        <f>'Spur Data'!U21</f>
        <v>6243636.717149367</v>
      </c>
    </row>
    <row r="110" spans="1:2" ht="12.75">
      <c r="A110">
        <f>'Spur Data'!T22</f>
        <v>334200.16833601537</v>
      </c>
      <c r="B110">
        <f>'Spur Data'!U22</f>
        <v>6243635.362716829</v>
      </c>
    </row>
    <row r="111" spans="1:2" ht="12.75">
      <c r="A111">
        <f>'Spur Data'!T23</f>
        <v>334200.1500638045</v>
      </c>
      <c r="B111">
        <f>'Spur Data'!U23</f>
        <v>6243634.0002605</v>
      </c>
    </row>
    <row r="112" spans="1:2" ht="12.75">
      <c r="A112">
        <f>'Spur Data'!T24</f>
        <v>334200.26246136747</v>
      </c>
      <c r="B112">
        <f>'Spur Data'!U24</f>
        <v>6243632.642325336</v>
      </c>
    </row>
    <row r="113" spans="1:2" ht="12.75">
      <c r="A113">
        <f>'Spur Data'!T25</f>
        <v>334200.504493792</v>
      </c>
      <c r="B113">
        <f>'Spur Data'!U25</f>
        <v>6243631.301414665</v>
      </c>
    </row>
    <row r="114" spans="1:2" ht="12.75">
      <c r="A114">
        <f>'Spur Data'!T26</f>
        <v>334200.87393253966</v>
      </c>
      <c r="B114">
        <f>'Spur Data'!U26</f>
        <v>6243629.9898750605</v>
      </c>
    </row>
    <row r="115" spans="1:2" ht="12.75">
      <c r="A115">
        <f>'Spur Data'!T27</f>
        <v>334201.3673759649</v>
      </c>
      <c r="B115">
        <f>'Spur Data'!U27</f>
        <v>6243628.719782659</v>
      </c>
    </row>
    <row r="116" spans="1:2" ht="12.75">
      <c r="A116">
        <f>'Spur Data'!T28</f>
        <v>334201.9802806365</v>
      </c>
      <c r="B116">
        <f>'Spur Data'!U28</f>
        <v>6243627.502831968</v>
      </c>
    </row>
    <row r="117" spans="1:2" ht="12.75">
      <c r="A117">
        <f>'Spur Data'!T29</f>
        <v>334202.7070031714</v>
      </c>
      <c r="B117">
        <f>'Spur Data'!U29</f>
        <v>6243626.350228185</v>
      </c>
    </row>
    <row r="118" spans="1:2" ht="12.75">
      <c r="A118">
        <f>'Spur Data'!AF23</f>
        <v>334202.7070031714</v>
      </c>
      <c r="B118">
        <f>'Spur Data'!AG23</f>
        <v>6243626.350228185</v>
      </c>
    </row>
    <row r="119" spans="1:2" ht="12.75">
      <c r="A119">
        <f>'Spur Data'!AF22</f>
        <v>334202.7070031714</v>
      </c>
      <c r="B119">
        <f>'Spur Data'!AG22</f>
        <v>6243626.350228185</v>
      </c>
    </row>
    <row r="121" ht="12.75">
      <c r="A121" t="s">
        <v>63</v>
      </c>
    </row>
    <row r="122" spans="1:2" ht="12.75">
      <c r="A122">
        <f>'Spur Data'!D5</f>
        <v>334214.3415716276</v>
      </c>
      <c r="B122">
        <f>'Spur Data'!E5</f>
        <v>6243634.491285661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Williamson</dc:creator>
  <cp:keywords/>
  <dc:description/>
  <cp:lastModifiedBy>Des Williamson</cp:lastModifiedBy>
  <dcterms:created xsi:type="dcterms:W3CDTF">2007-10-18T20:14:58Z</dcterms:created>
  <dcterms:modified xsi:type="dcterms:W3CDTF">2008-06-19T19:35:53Z</dcterms:modified>
  <cp:category/>
  <cp:version/>
  <cp:contentType/>
  <cp:contentStatus/>
</cp:coreProperties>
</file>